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activeTab="3"/>
  </bookViews>
  <sheets>
    <sheet name="пр 1" sheetId="1" r:id="rId1"/>
    <sheet name="пр 2" sheetId="2" r:id="rId2"/>
    <sheet name="пр 4" sheetId="3" r:id="rId3"/>
    <sheet name="пр 7" sheetId="4" r:id="rId4"/>
    <sheet name="прил 3" sheetId="5" r:id="rId5"/>
    <sheet name="пр 5" sheetId="6" r:id="rId6"/>
    <sheet name="прил 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'пр 1'!$6:$9</definedName>
    <definedName name="_xlnm.Print_Titles" localSheetId="5">'пр 5'!$7:$8</definedName>
    <definedName name="_xlnm.Print_Titles" localSheetId="6">'прил 6'!$7:$8</definedName>
    <definedName name="_xlnm.Print_Area" localSheetId="3">'пр 7'!$A$1:$E$11</definedName>
    <definedName name="_xlnm.Print_Area" localSheetId="6">'прил 6'!$A$1:$Q$98</definedName>
    <definedName name="стокиобъем11" localSheetId="2">#REF!</definedName>
    <definedName name="стокиобъем11">#REF!</definedName>
    <definedName name="стокиобъем12" localSheetId="2">#REF!</definedName>
    <definedName name="стокиобъем12">#REF!</definedName>
    <definedName name="стокитариф11" localSheetId="2">#REF!</definedName>
    <definedName name="стокитариф11">#REF!</definedName>
    <definedName name="стокитариф12" localSheetId="2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<sst xmlns="http://schemas.openxmlformats.org/spreadsheetml/2006/main" count="523" uniqueCount="279">
  <si>
    <t>Наименование показателей</t>
  </si>
  <si>
    <t>6.1.</t>
  </si>
  <si>
    <t>6.2.</t>
  </si>
  <si>
    <t>6.3.</t>
  </si>
  <si>
    <t>Рентабельность, %</t>
  </si>
  <si>
    <t>налог на прибыль</t>
  </si>
  <si>
    <t>налог на имущество</t>
  </si>
  <si>
    <t>Тариф, руб./м3</t>
  </si>
  <si>
    <t>3.1.</t>
  </si>
  <si>
    <t>3.2.</t>
  </si>
  <si>
    <t>4.1.</t>
  </si>
  <si>
    <t>численность персонала, чел.</t>
  </si>
  <si>
    <t>ставка рабочего 1 разряда</t>
  </si>
  <si>
    <t>средний разряд</t>
  </si>
  <si>
    <t>численность ремонтного персонала, чел.</t>
  </si>
  <si>
    <t>3.3.</t>
  </si>
  <si>
    <t>9.1.</t>
  </si>
  <si>
    <t>9.2.</t>
  </si>
  <si>
    <t>9.3.</t>
  </si>
  <si>
    <t>численность, чел.</t>
  </si>
  <si>
    <t>1.1.</t>
  </si>
  <si>
    <t>1.2.</t>
  </si>
  <si>
    <t>Исключить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</si>
  <si>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</si>
  <si>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</si>
  <si>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Производственные расходы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</si>
  <si>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</si>
  <si>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</si>
  <si>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</si>
  <si>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</si>
  <si>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</si>
  <si>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ВН (основное производство)</t>
  </si>
  <si>
    <t>объем энергии, тыс кВт.час</t>
  </si>
  <si>
    <t>тариф энергии, ру/кВт.час</t>
  </si>
  <si>
    <t>1.2.1.2.</t>
  </si>
  <si>
    <t xml:space="preserve"> энергия по  диапазону напряжения ВН (на освещение и отопление)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</si>
  <si>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</si>
  <si>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</si>
  <si>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</si>
  <si>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</si>
  <si>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</si>
  <si>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</si>
  <si>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</si>
  <si>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</si>
  <si>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</si>
  <si>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</si>
  <si>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</si>
  <si>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</si>
  <si>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</si>
  <si>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</si>
  <si>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1.4.2.</t>
  </si>
  <si>
    <t>1.4.3.</t>
  </si>
  <si>
    <t>1.4.4.</t>
  </si>
  <si>
    <t>среднемесячная заработная плата, руб.</t>
  </si>
  <si>
    <t>1.5.</t>
  </si>
  <si>
    <t>на отчисления на социальные нужды</t>
  </si>
  <si>
    <t>1.5.1.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</si>
  <si>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</si>
  <si>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</si>
  <si>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</si>
  <si>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</si>
  <si>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</si>
  <si>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>1.7.1.</t>
  </si>
  <si>
    <t xml:space="preserve"> на оплату труда цехового  персонала</t>
  </si>
  <si>
    <t>1.7.2.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</si>
  <si>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</si>
  <si>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</si>
  <si>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</si>
  <si>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</si>
  <si>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</si>
  <si>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</si>
  <si>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</si>
  <si>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</si>
  <si>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</si>
  <si>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</si>
  <si>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</si>
  <si>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</si>
  <si>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</si>
  <si>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оплату специализированного транспорта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</si>
  <si>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</si>
  <si>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</si>
  <si>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</si>
  <si>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</si>
  <si>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</si>
  <si>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</si>
  <si>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</si>
  <si>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</si>
  <si>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</si>
  <si>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2.3.2.</t>
  </si>
  <si>
    <t>2.3.3.</t>
  </si>
  <si>
    <t>2.4.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</si>
  <si>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</si>
  <si>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</si>
  <si>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</si>
  <si>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</si>
  <si>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</si>
  <si>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3.4.</t>
  </si>
  <si>
    <t>на уплату арендной  платы, лизинговых платежей</t>
  </si>
  <si>
    <t>3.5.</t>
  </si>
  <si>
    <t>на служебные командировки</t>
  </si>
  <si>
    <t>на страхование производственных объектов</t>
  </si>
  <si>
    <t>3.7.</t>
  </si>
  <si>
    <t>на обучение персонала</t>
  </si>
  <si>
    <t>3.8.</t>
  </si>
  <si>
    <t>на приобретение приборов и реагентов, используемых для анализа качества воды</t>
  </si>
  <si>
    <t>3.9.</t>
  </si>
  <si>
    <t>на осуществление производственного контроля качества воды</t>
  </si>
  <si>
    <t>3.10.</t>
  </si>
  <si>
    <t>на проведение технических обследований централизованных систем водоснабжения</t>
  </si>
  <si>
    <t>3.11.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</si>
  <si>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</si>
  <si>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</si>
  <si>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</si>
  <si>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</si>
  <si>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</si>
  <si>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</si>
  <si>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</si>
  <si>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</si>
  <si>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</si>
  <si>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</si>
  <si>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</si>
  <si>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</si>
  <si>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</si>
  <si>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</si>
  <si>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</si>
  <si>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>арендная плата</t>
  </si>
  <si>
    <t>лизинговые платежи</t>
  </si>
  <si>
    <t xml:space="preserve"> концессионная плата</t>
  </si>
  <si>
    <t>7.</t>
  </si>
  <si>
    <t>Налоги и сборы, включаемые в себестоимость</t>
  </si>
  <si>
    <t>7.1.</t>
  </si>
  <si>
    <t>плата за негативное воздействие</t>
  </si>
  <si>
    <t>7.2.</t>
  </si>
  <si>
    <t>налог на воду</t>
  </si>
  <si>
    <t>Итого расходов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</si>
  <si>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</si>
  <si>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</si>
  <si>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</si>
  <si>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</si>
  <si>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9.4.</t>
  </si>
  <si>
    <t>Прибыль на прочие цели</t>
  </si>
  <si>
    <t>9.5.</t>
  </si>
  <si>
    <t>Налоги и сборы всего, в т.ч</t>
  </si>
  <si>
    <t>9.5.1.</t>
  </si>
  <si>
    <t>Необходимая валовая выручка</t>
  </si>
  <si>
    <t>Тариф  с НДС, руб./м3</t>
  </si>
  <si>
    <t>индекс роста, %</t>
  </si>
  <si>
    <t>Объем реализации стоков, тыс.м3</t>
  </si>
  <si>
    <t>Тариф с НДС  на период с 01.07.2013 по 30.08.2013 г.</t>
  </si>
  <si>
    <t>в том числе  с календарной  разбивкой</t>
  </si>
  <si>
    <t>с 01.09.2013 по 30.12.2013 (4 месяца)</t>
  </si>
  <si>
    <t>с 01.01.2014 по 30.06.2014 (6 месяцев)</t>
  </si>
  <si>
    <t>с 01.07.2014 по 31.12.2014 (6 месяцев)</t>
  </si>
  <si>
    <t>Объем реализации воды (стоков), тыс.м3</t>
  </si>
  <si>
    <t>покупную питьевую  воду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</si>
  <si>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</si>
  <si>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</si>
  <si>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</si>
  <si>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</si>
  <si>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</si>
  <si>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</si>
  <si>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</si>
  <si>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</si>
  <si>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</si>
  <si>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</si>
  <si>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Уровень                     отклонения (гр4-гр3)</t>
  </si>
  <si>
    <t>Заключение                    на 2013 год</t>
  </si>
  <si>
    <t>Базовый период</t>
  </si>
  <si>
    <t>Период регулирования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</si>
  <si>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</si>
  <si>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</si>
  <si>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</si>
  <si>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</si>
  <si>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Объем  отпуска питьевой воды всего:  в т.ч.</t>
  </si>
  <si>
    <t>собственное производство</t>
  </si>
  <si>
    <t>Расход электрической энергии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</si>
  <si>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</si>
  <si>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</si>
  <si>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</si>
  <si>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</si>
  <si>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</si>
  <si>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</si>
  <si>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</si>
  <si>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</si>
  <si>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</si>
  <si>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</si>
  <si>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</si>
  <si>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</si>
  <si>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</si>
  <si>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</si>
  <si>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</si>
  <si>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</si>
  <si>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</si>
  <si>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</si>
  <si>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</si>
  <si>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Заключение                    на 2014 год</t>
  </si>
  <si>
    <t>Утверждено                    на 2013 год</t>
  </si>
  <si>
    <t>Индекс  изменения к предыдущему периоду регулирования,%</t>
  </si>
  <si>
    <t>Утверждено на 2012 год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</si>
  <si>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</si>
  <si>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</si>
  <si>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</si>
  <si>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</si>
  <si>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</si>
  <si>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</si>
  <si>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</si>
  <si>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</si>
  <si>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</si>
  <si>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</si>
  <si>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</si>
  <si>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Норматив технологических  затрат химреагентов</t>
  </si>
  <si>
    <t>кг/м3 (л/м3)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</si>
  <si>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</si>
  <si>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</si>
  <si>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</si>
  <si>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</si>
  <si>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</si>
  <si>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по прибора учета</t>
  </si>
  <si>
    <t>бюджетным организациям, в т.ч.</t>
  </si>
  <si>
    <t>прочим потребителям, в.т.ч.</t>
  </si>
  <si>
    <t>только к экспертному</t>
  </si>
  <si>
    <t xml:space="preserve">к экспертому </t>
  </si>
  <si>
    <t>электроэнергию</t>
  </si>
  <si>
    <t>2013 - 2014 годы</t>
  </si>
  <si>
    <t>Показатель (группы потребителей)</t>
  </si>
  <si>
    <t>Тарифы</t>
  </si>
  <si>
    <t>Прочие потребители (тарифы указываются без НДС)</t>
  </si>
  <si>
    <t>Население (тарифы указываются с учетом НДС)</t>
  </si>
  <si>
    <t>Расходы, учтенные и неучтенные при расчете тарифа</t>
  </si>
  <si>
    <t>Тарифы на питьевую воду для потребителей</t>
  </si>
  <si>
    <t>с 01.01.2014 
по 30.06.2014</t>
  </si>
  <si>
    <t>с 01.07.2014
 по 31.12.2014</t>
  </si>
  <si>
    <t>руб./м3.</t>
  </si>
  <si>
    <t xml:space="preserve">Целевые показатели деятельности 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</si>
  <si>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</si>
  <si>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Данная таблица не заполняется для вновь созданных организаций, а делается запись в экспертном</t>
  </si>
  <si>
    <t>Расчет экономически обоснованного тарифа на питьевую воду</t>
  </si>
  <si>
    <t>Приложение № 1 к экспертному заключению по делу № 38-13в</t>
  </si>
  <si>
    <t>Приложение № 2 к экспертному заключению по делу № 38-13в</t>
  </si>
  <si>
    <t>Приложение № 4 к экспертному заключению по делу № 38-13в</t>
  </si>
  <si>
    <t>Приложение № 7 к экспертному заключению по делу № 38-13в</t>
  </si>
  <si>
    <t>Приложение № 3 к экспертному заключению по делу № 38-13в</t>
  </si>
  <si>
    <t>Приложение № 5  к  экспертному заключению по делу № 38-13в</t>
  </si>
  <si>
    <t>Приложение № 6   к  экспертному заключению по делу № 38-13в</t>
  </si>
  <si>
    <t>общества с ограниченной ответственностью «Марининский ЭнергоРесурс» (Курагинский район, с. Маринино, ИНН 2423010846)
 (Брагинский сельсовет, Детловский сельсовет)</t>
  </si>
  <si>
    <t xml:space="preserve">Питьевая вода </t>
  </si>
  <si>
    <t>подъем воды</t>
  </si>
  <si>
    <t>Индексы роста цен на энергетические ресурсы</t>
  </si>
  <si>
    <t>5.1.</t>
  </si>
  <si>
    <t>5.2.</t>
  </si>
  <si>
    <t>очистка воды</t>
  </si>
  <si>
    <t>5.3.</t>
  </si>
  <si>
    <t>кВт·ч/м3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</si>
  <si>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</si>
  <si>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</si>
  <si>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</si>
  <si>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</si>
  <si>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</si>
  <si>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</si>
  <si>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</si>
  <si>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</si>
  <si>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</si>
  <si>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</si>
  <si>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</si>
  <si>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13.1.</t>
  </si>
  <si>
    <t>13.1.1.</t>
  </si>
  <si>
    <t>13.2.</t>
  </si>
  <si>
    <t>13.3.</t>
  </si>
  <si>
    <t>13.3.1.</t>
  </si>
  <si>
    <t>13.4.</t>
  </si>
  <si>
    <t>13.4.1.</t>
  </si>
  <si>
    <t>15.1.</t>
  </si>
  <si>
    <t>15.2.</t>
  </si>
  <si>
    <t>15.3.</t>
  </si>
  <si>
    <t>транспортировк воды</t>
  </si>
  <si>
    <r>
      <t>тыс.кВт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Times New Roman"/>
        <family val="1"/>
      </rPr>
      <t>ч</t>
    </r>
  </si>
  <si>
    <t>16.1.</t>
  </si>
  <si>
    <t>18.1.</t>
  </si>
  <si>
    <t>гипохлорид кальция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</si>
</sst>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right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wrapText="1"/>
      <protection/>
    </xf>
    <xf numFmtId="0" fontId="11" fillId="0" borderId="10" xfId="60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15" fillId="0" borderId="0" xfId="58" applyFont="1" applyAlignment="1">
      <alignment wrapText="1"/>
      <protection/>
    </xf>
    <xf numFmtId="0" fontId="16" fillId="0" borderId="0" xfId="58" applyFont="1" applyAlignment="1">
      <alignment wrapText="1"/>
      <protection/>
    </xf>
    <xf numFmtId="0" fontId="15" fillId="0" borderId="0" xfId="58" applyFont="1" applyAlignment="1">
      <alignment horizontal="right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2" fontId="11" fillId="0" borderId="10" xfId="58" applyNumberFormat="1" applyFont="1" applyBorder="1" applyAlignment="1">
      <alignment horizontal="center" vertical="center" wrapText="1"/>
      <protection/>
    </xf>
    <xf numFmtId="0" fontId="18" fillId="0" borderId="0" xfId="58" applyFont="1" applyAlignment="1">
      <alignment wrapText="1"/>
      <protection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15" fillId="0" borderId="0" xfId="61" applyFont="1" applyFill="1" applyAlignment="1">
      <alignment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189" fontId="11" fillId="0" borderId="10" xfId="0" applyNumberFormat="1" applyFont="1" applyFill="1" applyBorder="1" applyAlignment="1">
      <alignment horizontal="center" vertical="center" wrapText="1"/>
    </xf>
    <xf numFmtId="198" fontId="2" fillId="0" borderId="11" xfId="53" applyNumberFormat="1" applyFont="1" applyBorder="1" applyAlignment="1">
      <alignment horizontal="center" vertical="center"/>
      <protection/>
    </xf>
    <xf numFmtId="198" fontId="2" fillId="0" borderId="10" xfId="53" applyNumberFormat="1" applyFont="1" applyBorder="1" applyAlignment="1">
      <alignment horizontal="center" vertical="center" wrapText="1"/>
      <protection/>
    </xf>
    <xf numFmtId="198" fontId="2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2" fontId="11" fillId="0" borderId="10" xfId="58" applyNumberFormat="1" applyFont="1" applyFill="1" applyBorder="1" applyAlignment="1">
      <alignment horizontal="center" vertical="center" wrapText="1"/>
      <protection/>
    </xf>
    <xf numFmtId="0" fontId="38" fillId="0" borderId="0" xfId="57">
      <alignment/>
      <protection/>
    </xf>
    <xf numFmtId="0" fontId="38" fillId="0" borderId="0" xfId="57" applyAlignment="1">
      <alignment wrapText="1"/>
      <protection/>
    </xf>
    <xf numFmtId="0" fontId="55" fillId="0" borderId="10" xfId="57" applyFont="1" applyBorder="1" applyAlignment="1">
      <alignment horizontal="center" vertical="center" wrapText="1"/>
      <protection/>
    </xf>
    <xf numFmtId="0" fontId="55" fillId="0" borderId="10" xfId="57" applyFont="1" applyBorder="1" applyAlignment="1">
      <alignment vertical="center" wrapText="1"/>
      <protection/>
    </xf>
    <xf numFmtId="0" fontId="55" fillId="0" borderId="12" xfId="57" applyFont="1" applyBorder="1" applyAlignment="1">
      <alignment horizontal="center" vertical="center" wrapText="1"/>
      <protection/>
    </xf>
    <xf numFmtId="2" fontId="55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0" fillId="0" borderId="0" xfId="53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vertical="center" wrapText="1"/>
      <protection/>
    </xf>
    <xf numFmtId="0" fontId="8" fillId="0" borderId="0" xfId="53" applyFont="1" applyAlignment="1">
      <alignment/>
      <protection/>
    </xf>
    <xf numFmtId="0" fontId="8" fillId="0" borderId="13" xfId="53" applyFont="1" applyBorder="1" applyAlignment="1">
      <alignment horizontal="center"/>
      <protection/>
    </xf>
    <xf numFmtId="0" fontId="0" fillId="0" borderId="0" xfId="53" applyAlignment="1">
      <alignment horizontal="center" vertical="center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0" fontId="2" fillId="0" borderId="14" xfId="53" applyFont="1" applyFill="1" applyBorder="1" applyAlignment="1" applyProtection="1">
      <alignment vertical="center" wrapText="1"/>
      <protection/>
    </xf>
    <xf numFmtId="2" fontId="2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vertical="center" wrapText="1"/>
      <protection/>
    </xf>
    <xf numFmtId="0" fontId="18" fillId="0" borderId="0" xfId="53" applyFont="1">
      <alignment/>
      <protection/>
    </xf>
    <xf numFmtId="0" fontId="8" fillId="34" borderId="0" xfId="53" applyFont="1" applyFill="1">
      <alignment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0" fillId="0" borderId="18" xfId="53" applyBorder="1">
      <alignment/>
      <protection/>
    </xf>
    <xf numFmtId="0" fontId="0" fillId="0" borderId="10" xfId="53" applyBorder="1">
      <alignment/>
      <protection/>
    </xf>
    <xf numFmtId="0" fontId="0" fillId="0" borderId="19" xfId="53" applyBorder="1">
      <alignment/>
      <protection/>
    </xf>
    <xf numFmtId="0" fontId="2" fillId="34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2" fontId="2" fillId="0" borderId="18" xfId="53" applyNumberFormat="1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10" fontId="2" fillId="0" borderId="10" xfId="53" applyNumberFormat="1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2" fontId="2" fillId="0" borderId="19" xfId="53" applyNumberFormat="1" applyFont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184" fontId="2" fillId="0" borderId="10" xfId="53" applyNumberFormat="1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0" fillId="0" borderId="0" xfId="53" applyFont="1">
      <alignment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189" fontId="12" fillId="0" borderId="19" xfId="53" applyNumberFormat="1" applyFont="1" applyBorder="1" applyAlignment="1">
      <alignment horizontal="center" vertical="center" wrapText="1"/>
      <protection/>
    </xf>
    <xf numFmtId="18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2" fontId="2" fillId="0" borderId="18" xfId="53" applyNumberFormat="1" applyFont="1" applyFill="1" applyBorder="1" applyAlignment="1">
      <alignment horizontal="center" vertical="center" wrapText="1"/>
      <protection/>
    </xf>
    <xf numFmtId="2" fontId="2" fillId="0" borderId="19" xfId="53" applyNumberFormat="1" applyFont="1" applyFill="1" applyBorder="1" applyAlignment="1">
      <alignment horizontal="center" vertical="center" wrapText="1"/>
      <protection/>
    </xf>
    <xf numFmtId="0" fontId="0" fillId="0" borderId="0" xfId="53" applyFill="1">
      <alignment/>
      <protection/>
    </xf>
    <xf numFmtId="2" fontId="12" fillId="0" borderId="18" xfId="53" applyNumberFormat="1" applyFont="1" applyFill="1" applyBorder="1" applyAlignment="1">
      <alignment horizontal="center" vertical="center" wrapText="1"/>
      <protection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2" fontId="12" fillId="0" borderId="19" xfId="53" applyNumberFormat="1" applyFont="1" applyFill="1" applyBorder="1" applyAlignment="1">
      <alignment horizontal="center" vertical="center" wrapText="1"/>
      <protection/>
    </xf>
    <xf numFmtId="16" fontId="2" fillId="0" borderId="10" xfId="53" applyNumberFormat="1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vertical="center" wrapText="1"/>
      <protection/>
    </xf>
    <xf numFmtId="0" fontId="2" fillId="0" borderId="10" xfId="53" applyFont="1" applyFill="1" applyBorder="1" applyAlignment="1" applyProtection="1">
      <alignment vertical="center" wrapText="1"/>
      <protection/>
    </xf>
    <xf numFmtId="2" fontId="4" fillId="0" borderId="18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9" xfId="53" applyNumberFormat="1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left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2" fontId="0" fillId="0" borderId="24" xfId="53" applyNumberFormat="1" applyBorder="1" applyAlignment="1">
      <alignment horizontal="center" vertical="center" wrapText="1"/>
      <protection/>
    </xf>
    <xf numFmtId="2" fontId="0" fillId="0" borderId="25" xfId="53" applyNumberFormat="1" applyBorder="1" applyAlignment="1">
      <alignment horizontal="center" vertical="center" wrapText="1"/>
      <protection/>
    </xf>
    <xf numFmtId="2" fontId="0" fillId="0" borderId="26" xfId="53" applyNumberForma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left" vertical="center" wrapText="1"/>
      <protection/>
    </xf>
    <xf numFmtId="0" fontId="0" fillId="34" borderId="10" xfId="53" applyFill="1" applyBorder="1" applyAlignment="1">
      <alignment horizontal="center" vertical="center" wrapText="1"/>
      <protection/>
    </xf>
    <xf numFmtId="0" fontId="0" fillId="34" borderId="0" xfId="53" applyFill="1">
      <alignment/>
      <protection/>
    </xf>
    <xf numFmtId="0" fontId="18" fillId="34" borderId="0" xfId="53" applyFont="1" applyFill="1">
      <alignment/>
      <protection/>
    </xf>
    <xf numFmtId="2" fontId="0" fillId="0" borderId="0" xfId="53" applyNumberFormat="1">
      <alignment/>
      <protection/>
    </xf>
    <xf numFmtId="0" fontId="20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1" fillId="34" borderId="0" xfId="53" applyFont="1" applyFill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189" fontId="12" fillId="0" borderId="10" xfId="53" applyNumberFormat="1" applyFont="1" applyBorder="1" applyAlignment="1">
      <alignment horizontal="center" vertical="center" wrapText="1"/>
      <protection/>
    </xf>
    <xf numFmtId="188" fontId="12" fillId="0" borderId="10" xfId="53" applyNumberFormat="1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center" vertical="center" wrapText="1"/>
      <protection/>
    </xf>
    <xf numFmtId="2" fontId="12" fillId="34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55" fillId="0" borderId="10" xfId="57" applyFont="1" applyBorder="1" applyAlignment="1">
      <alignment horizontal="center" vertical="center" wrapText="1"/>
      <protection/>
    </xf>
    <xf numFmtId="18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21" fillId="35" borderId="10" xfId="53" applyFont="1" applyFill="1" applyBorder="1" applyAlignment="1">
      <alignment horizontal="left" vertical="top" wrapText="1"/>
      <protection/>
    </xf>
    <xf numFmtId="0" fontId="21" fillId="35" borderId="10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vertical="center" wrapText="1"/>
      <protection/>
    </xf>
    <xf numFmtId="0" fontId="21" fillId="35" borderId="10" xfId="53" applyFont="1" applyFill="1" applyBorder="1" applyAlignment="1">
      <alignment horizontal="justify" vertical="top" wrapText="1"/>
      <protection/>
    </xf>
    <xf numFmtId="189" fontId="2" fillId="0" borderId="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61" applyFont="1" applyBorder="1" applyAlignment="1">
      <alignment horizontal="center" vertical="center" wrapText="1"/>
      <protection/>
    </xf>
    <xf numFmtId="0" fontId="15" fillId="0" borderId="0" xfId="61" applyFont="1" applyFill="1" applyAlignment="1">
      <alignment horizontal="left" vertical="center" wrapText="1"/>
      <protection/>
    </xf>
    <xf numFmtId="0" fontId="15" fillId="0" borderId="0" xfId="58" applyFont="1" applyFill="1" applyAlignment="1">
      <alignment horizontal="left" wrapText="1"/>
      <protection/>
    </xf>
    <xf numFmtId="0" fontId="15" fillId="0" borderId="0" xfId="58" applyFont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55" fillId="0" borderId="12" xfId="57" applyFont="1" applyBorder="1" applyAlignment="1">
      <alignment horizontal="center" vertical="center" wrapText="1"/>
      <protection/>
    </xf>
    <xf numFmtId="0" fontId="55" fillId="0" borderId="28" xfId="57" applyFont="1" applyBorder="1" applyAlignment="1">
      <alignment horizontal="center" vertical="center" wrapText="1"/>
      <protection/>
    </xf>
    <xf numFmtId="0" fontId="55" fillId="0" borderId="18" xfId="57" applyFont="1" applyBorder="1" applyAlignment="1">
      <alignment horizontal="center" vertical="center" wrapText="1"/>
      <protection/>
    </xf>
    <xf numFmtId="0" fontId="56" fillId="0" borderId="0" xfId="57" applyFont="1" applyAlignment="1">
      <alignment horizontal="left" wrapText="1"/>
      <protection/>
    </xf>
    <xf numFmtId="0" fontId="55" fillId="0" borderId="10" xfId="57" applyFont="1" applyBorder="1" applyAlignment="1">
      <alignment horizontal="center" vertical="center" wrapText="1"/>
      <protection/>
    </xf>
    <xf numFmtId="0" fontId="57" fillId="0" borderId="0" xfId="57" applyFont="1" applyAlignment="1">
      <alignment horizontal="center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11" fillId="0" borderId="22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textRotation="90" wrapText="1"/>
      <protection/>
    </xf>
    <xf numFmtId="0" fontId="2" fillId="0" borderId="11" xfId="53" applyFont="1" applyBorder="1" applyAlignment="1">
      <alignment horizontal="center" vertical="center" textRotation="90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8" fillId="36" borderId="0" xfId="53" applyFont="1" applyFill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производственная программа ДЛЯ НАС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4;&#1054;&#1054;%20&#1052;&#1072;&#1088;&#1080;&#1085;&#1080;&#1085;&#1089;&#1082;&#1080;&#1081;%20&#1069;&#1085;&#1077;&#1088;&#1075;&#1086;&#1056;&#1077;&#1089;&#1091;&#1088;&#1089;\&#1041;&#1088;&#1072;&#1075;&#1080;&#1085;&#1089;&#1082;&#1080;&#1081;%20&#1080;%20&#1044;&#1077;&#1090;&#1083;&#1086;&#1074;&#1089;&#1082;&#1080;&#1081;%20&#1089;&#1077;&#1083;&#1100;&#1089;&#1086;&#1074;&#1077;&#1090;&#109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87;&#1088;&#1080;&#1083;&#1086;&#1078;&#1077;&#1085;&#1080;&#1103;%20&#1082;%20&#1087;&#1088;&#1086;&#1090;&#1086;&#1082;&#1086;&#1083;&#10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8;&#1040;&#1056;&#1048;&#1060;&#1067;%202014\&#1050;&#1086;&#1079;&#1083;&#1086;&#1074;&#1072;\&#1058;&#1072;&#1088;&#1080;&#1092;&#1099;\&#1050;&#1091;&#1088;&#1072;&#1075;&#1080;&#1085;&#1089;&#1082;&#1080;&#1081;%20&#1088;&#1072;&#1081;&#1086;&#1085;\&#1054;&#1054;&#1054;%20&#1052;&#1072;&#1088;&#1080;&#1085;&#1080;&#1085;&#1089;&#1082;&#1080;&#1081;%20&#1069;&#1085;&#1077;&#1088;&#1075;&#1086;&#1056;&#1077;&#1089;&#1091;&#1088;&#1089;\&#1041;&#1077;&#1088;&#1077;&#1079;&#1086;&#1074;&#1089;&#1082;&#1080;&#1081;%20&#1089;&#1077;&#1083;&#1100;&#1089;&#1086;&#1074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ЭлектроЭнергия"/>
      <sheetName val="расчет ФОТ"/>
      <sheetName val="водный нало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рагино, Детлово"/>
      <sheetName val="ОБЪЕМЫ"/>
      <sheetName val="ЭлектроЭнергия"/>
      <sheetName val="расчет ФОТ общ"/>
      <sheetName val="водный налог"/>
      <sheetName val="выручка"/>
      <sheetName val="18"/>
      <sheetName val="19"/>
      <sheetName val="анализ ф.3 брагино,детлово"/>
      <sheetName val="П 11.2. Сводная"/>
      <sheetName val="П 11.2 Брагино"/>
      <sheetName val="П 11.3.1. Сводная"/>
      <sheetName val="П 11.3.1. Брагино"/>
      <sheetName val="П 11.3.1. Детлово"/>
      <sheetName val="П 11."/>
    </sheetNames>
    <sheetDataSet>
      <sheetData sheetId="0">
        <row r="10">
          <cell r="G10">
            <v>891.84</v>
          </cell>
          <cell r="I10">
            <v>891.84</v>
          </cell>
        </row>
        <row r="11">
          <cell r="O11">
            <v>1.056</v>
          </cell>
        </row>
        <row r="12">
          <cell r="O12">
            <v>1.073</v>
          </cell>
        </row>
        <row r="15">
          <cell r="G15">
            <v>35.64</v>
          </cell>
        </row>
        <row r="60">
          <cell r="G60">
            <v>816.2</v>
          </cell>
          <cell r="I60">
            <v>816.2</v>
          </cell>
        </row>
        <row r="73">
          <cell r="G73">
            <v>238.29</v>
          </cell>
          <cell r="I73">
            <v>238.29</v>
          </cell>
        </row>
        <row r="81">
          <cell r="G81">
            <v>96.36</v>
          </cell>
          <cell r="I81">
            <v>96.36</v>
          </cell>
        </row>
        <row r="85">
          <cell r="G85">
            <v>3.11</v>
          </cell>
          <cell r="I85">
            <v>3.11</v>
          </cell>
        </row>
        <row r="105">
          <cell r="J105">
            <v>74.49</v>
          </cell>
          <cell r="K105">
            <v>78.52</v>
          </cell>
        </row>
        <row r="106">
          <cell r="J106">
            <v>87.9</v>
          </cell>
          <cell r="K106">
            <v>92.65</v>
          </cell>
        </row>
      </sheetData>
      <sheetData sheetId="1">
        <row r="3">
          <cell r="D3">
            <v>23.328370919999998</v>
          </cell>
        </row>
        <row r="7">
          <cell r="D7">
            <v>5.958</v>
          </cell>
        </row>
        <row r="8">
          <cell r="D8">
            <v>1.343</v>
          </cell>
        </row>
        <row r="9">
          <cell r="D9">
            <v>0.534</v>
          </cell>
        </row>
        <row r="10">
          <cell r="D10">
            <v>0.445</v>
          </cell>
        </row>
        <row r="11">
          <cell r="D11">
            <v>0.27</v>
          </cell>
        </row>
        <row r="12">
          <cell r="D12">
            <v>1.627</v>
          </cell>
        </row>
        <row r="14">
          <cell r="D14">
            <v>9.631</v>
          </cell>
        </row>
      </sheetData>
      <sheetData sheetId="8">
        <row r="14">
          <cell r="J14">
            <v>15.243</v>
          </cell>
        </row>
        <row r="15">
          <cell r="J15">
            <v>6</v>
          </cell>
        </row>
        <row r="18">
          <cell r="I18">
            <v>3.26</v>
          </cell>
          <cell r="J18">
            <v>1.584</v>
          </cell>
        </row>
        <row r="19">
          <cell r="I19">
            <v>0.07627563344262295</v>
          </cell>
        </row>
        <row r="27">
          <cell r="I27">
            <v>27.91688184</v>
          </cell>
        </row>
        <row r="31">
          <cell r="I31">
            <v>5.10897184</v>
          </cell>
        </row>
        <row r="34">
          <cell r="I34">
            <v>22.80791</v>
          </cell>
        </row>
        <row r="35">
          <cell r="I35">
            <v>19.45228</v>
          </cell>
        </row>
        <row r="39">
          <cell r="I39">
            <v>23.469665252607925</v>
          </cell>
        </row>
        <row r="41">
          <cell r="I41">
            <v>1.3579</v>
          </cell>
        </row>
        <row r="42">
          <cell r="I42">
            <v>39.318064658664106</v>
          </cell>
        </row>
        <row r="46">
          <cell r="I46">
            <v>1047</v>
          </cell>
          <cell r="J46">
            <v>1007</v>
          </cell>
        </row>
        <row r="47">
          <cell r="I47">
            <v>8784</v>
          </cell>
        </row>
        <row r="51">
          <cell r="I51">
            <v>1.200234829684515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вода (2)"/>
      <sheetName val="прил 1 стоки (2)"/>
      <sheetName val="приложение 2"/>
      <sheetName val="прил4 в"/>
      <sheetName val="прил4 стоки"/>
      <sheetName val="прил.7"/>
      <sheetName val="прил 3"/>
      <sheetName val="пр 5"/>
      <sheetName val="прил 6"/>
      <sheetName val="ПП"/>
      <sheetName val="пр 1"/>
      <sheetName val="пр 2"/>
      <sheetName val="пр 4 в"/>
      <sheetName val="пр 4 ст"/>
      <sheetName val="пр 7"/>
      <sheetName val="пр 3"/>
      <sheetName val="пр 6"/>
    </sheetNames>
    <sheetDataSet>
      <sheetData sheetId="10">
        <row r="4">
          <cell r="A4" t="str">
            <v>Федерального государственного унитарного предприятия "Горно-Химический комбинат"(питьевая вода)
(г. Железногорск, ИНН 2452000401)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Березовский"/>
      <sheetName val="ОБЪЕМЫ"/>
      <sheetName val="ЭлектроЭнергия"/>
      <sheetName val="расчет ФОТ"/>
      <sheetName val="расч норм числ"/>
      <sheetName val="водный налог"/>
      <sheetName val="выручка"/>
      <sheetName val="18"/>
      <sheetName val="19"/>
      <sheetName val="анализ ф.3 березовка"/>
      <sheetName val="П 11."/>
      <sheetName val="П 11.2."/>
      <sheetName val="П 11.3.1."/>
    </sheetNames>
    <sheetDataSet>
      <sheetData sheetId="10">
        <row r="47">
          <cell r="J47">
            <v>8760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view="pageLayout" workbookViewId="0" topLeftCell="A37">
      <selection activeCell="D51" sqref="D51"/>
    </sheetView>
  </sheetViews>
  <sheetFormatPr defaultColWidth="39.8515625" defaultRowHeight="12.75" outlineLevelRow="1"/>
  <cols>
    <col min="1" max="1" width="7.281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3:5" ht="37.5" customHeight="1">
      <c r="C1" s="165" t="s">
        <v>237</v>
      </c>
      <c r="D1" s="165"/>
      <c r="E1" s="165"/>
    </row>
    <row r="2" spans="1:5" ht="30" customHeight="1">
      <c r="A2" s="4"/>
      <c r="C2" s="4"/>
      <c r="D2" s="4"/>
      <c r="E2" s="4"/>
    </row>
    <row r="3" spans="1:6" ht="20.25" customHeight="1">
      <c r="A3" s="166" t="s">
        <v>176</v>
      </c>
      <c r="B3" s="166"/>
      <c r="C3" s="166"/>
      <c r="D3" s="166"/>
      <c r="E3" s="166"/>
      <c r="F3" s="33"/>
    </row>
    <row r="4" spans="1:8" ht="57" customHeight="1">
      <c r="A4" s="167" t="s">
        <v>244</v>
      </c>
      <c r="B4" s="167"/>
      <c r="C4" s="167"/>
      <c r="D4" s="167"/>
      <c r="E4" s="167"/>
      <c r="F4" s="3"/>
      <c r="G4" s="3"/>
      <c r="H4" s="3"/>
    </row>
    <row r="5" ht="18.75">
      <c r="C5" s="6"/>
    </row>
    <row r="6" spans="1:5" ht="15" customHeight="1">
      <c r="A6" s="168" t="s">
        <v>158</v>
      </c>
      <c r="B6" s="168" t="s">
        <v>169</v>
      </c>
      <c r="C6" s="168" t="s">
        <v>170</v>
      </c>
      <c r="D6" s="171" t="s">
        <v>223</v>
      </c>
      <c r="E6" s="172"/>
    </row>
    <row r="7" spans="1:5" ht="18" customHeight="1">
      <c r="A7" s="169"/>
      <c r="B7" s="169"/>
      <c r="C7" s="169"/>
      <c r="D7" s="168" t="s">
        <v>177</v>
      </c>
      <c r="E7" s="168" t="s">
        <v>178</v>
      </c>
    </row>
    <row r="8" spans="1:5" ht="18" customHeight="1">
      <c r="A8" s="170"/>
      <c r="B8" s="170"/>
      <c r="C8" s="170"/>
      <c r="D8" s="170"/>
      <c r="E8" s="170"/>
    </row>
    <row r="9" spans="1:5" ht="15.75">
      <c r="A9" s="2">
        <v>1</v>
      </c>
      <c r="B9" s="2">
        <v>2</v>
      </c>
      <c r="C9" s="2">
        <v>3</v>
      </c>
      <c r="D9" s="2">
        <v>4</v>
      </c>
      <c r="E9" s="2">
        <v>5</v>
      </c>
    </row>
    <row r="10" spans="1:5" ht="31.5">
      <c r="A10" s="2">
        <v>1</v>
      </c>
      <c r="B10" s="7" t="s">
        <v>179</v>
      </c>
      <c r="C10" s="2" t="s">
        <v>185</v>
      </c>
      <c r="D10" s="35">
        <f>'[3]анализ ф.3 брагино,детлово'!$J$14:$J$14</f>
        <v>15.243</v>
      </c>
      <c r="E10" s="34">
        <f>D10</f>
        <v>15.243</v>
      </c>
    </row>
    <row r="11" spans="1:5" ht="47.25">
      <c r="A11" s="2">
        <v>2</v>
      </c>
      <c r="B11" s="7" t="s">
        <v>180</v>
      </c>
      <c r="C11" s="2" t="s">
        <v>186</v>
      </c>
      <c r="D11" s="35">
        <f>'[3]анализ ф.3 брагино,детлово'!$J$15</f>
        <v>6</v>
      </c>
      <c r="E11" s="34">
        <f>D11</f>
        <v>6</v>
      </c>
    </row>
    <row r="12" spans="1:5" ht="31.5">
      <c r="A12" s="2">
        <v>3</v>
      </c>
      <c r="B12" s="7" t="s">
        <v>181</v>
      </c>
      <c r="C12" s="2" t="s">
        <v>186</v>
      </c>
      <c r="D12" s="35">
        <f>'[3]анализ ф.3 брагино,детлово'!$J$16</f>
        <v>0</v>
      </c>
      <c r="E12" s="34">
        <f>D12</f>
        <v>0</v>
      </c>
    </row>
    <row r="13" spans="1:5" ht="47.25">
      <c r="A13" s="2">
        <v>4</v>
      </c>
      <c r="B13" s="7" t="s">
        <v>182</v>
      </c>
      <c r="C13" s="2" t="s">
        <v>186</v>
      </c>
      <c r="D13" s="35">
        <f>'[3]анализ ф.3 брагино,детлово'!$J$17</f>
        <v>0</v>
      </c>
      <c r="E13" s="34">
        <f>D13</f>
        <v>0</v>
      </c>
    </row>
    <row r="14" spans="1:5" ht="33" customHeight="1">
      <c r="A14" s="2">
        <v>5</v>
      </c>
      <c r="B14" s="7" t="s">
        <v>183</v>
      </c>
      <c r="C14" s="2" t="s">
        <v>187</v>
      </c>
      <c r="D14" s="35">
        <f>'[3]анализ ф.3 брагино,детлово'!$J$18</f>
        <v>1.584</v>
      </c>
      <c r="E14" s="34">
        <f>D14</f>
        <v>1.584</v>
      </c>
    </row>
    <row r="15" spans="1:5" ht="22.5" customHeight="1">
      <c r="A15" s="2">
        <v>6</v>
      </c>
      <c r="B15" s="7" t="s">
        <v>184</v>
      </c>
      <c r="C15" s="2" t="s">
        <v>187</v>
      </c>
      <c r="D15" s="36">
        <f>ROUND(D16/365,2)</f>
        <v>0.1</v>
      </c>
      <c r="E15" s="36">
        <f>ROUND(E16/365,2)</f>
        <v>0.1</v>
      </c>
    </row>
    <row r="16" spans="1:5" ht="33.75" customHeight="1">
      <c r="A16" s="43">
        <v>7</v>
      </c>
      <c r="B16" s="157" t="s">
        <v>253</v>
      </c>
      <c r="C16" s="13" t="s">
        <v>171</v>
      </c>
      <c r="D16" s="36">
        <f>ROUND(D17+D18,2)</f>
        <v>36.37</v>
      </c>
      <c r="E16" s="36">
        <f>ROUND(E17+E18,2)</f>
        <v>36.37</v>
      </c>
    </row>
    <row r="17" spans="1:5" ht="18" customHeight="1">
      <c r="A17" s="43" t="s">
        <v>130</v>
      </c>
      <c r="B17" s="158" t="s">
        <v>254</v>
      </c>
      <c r="C17" s="13" t="s">
        <v>171</v>
      </c>
      <c r="D17" s="36">
        <v>0</v>
      </c>
      <c r="E17" s="36">
        <v>0</v>
      </c>
    </row>
    <row r="18" spans="1:5" ht="18" customHeight="1">
      <c r="A18" s="43" t="s">
        <v>132</v>
      </c>
      <c r="B18" s="159" t="s">
        <v>255</v>
      </c>
      <c r="C18" s="13" t="s">
        <v>171</v>
      </c>
      <c r="D18" s="36">
        <f>D21</f>
        <v>36.37</v>
      </c>
      <c r="E18" s="36">
        <f>E21</f>
        <v>36.37</v>
      </c>
    </row>
    <row r="19" spans="1:5" ht="32.25" customHeight="1">
      <c r="A19" s="13">
        <v>8</v>
      </c>
      <c r="B19" s="160" t="s">
        <v>256</v>
      </c>
      <c r="C19" s="13" t="s">
        <v>171</v>
      </c>
      <c r="D19" s="36">
        <v>0</v>
      </c>
      <c r="E19" s="36">
        <v>0</v>
      </c>
    </row>
    <row r="20" spans="1:5" ht="31.5" customHeight="1">
      <c r="A20" s="13">
        <v>9</v>
      </c>
      <c r="B20" s="160" t="s">
        <v>257</v>
      </c>
      <c r="C20" s="13" t="s">
        <v>171</v>
      </c>
      <c r="D20" s="36">
        <v>0</v>
      </c>
      <c r="E20" s="36">
        <v>0</v>
      </c>
    </row>
    <row r="21" spans="1:5" ht="31.5" customHeight="1">
      <c r="A21" s="13">
        <v>10</v>
      </c>
      <c r="B21" s="157" t="s">
        <v>258</v>
      </c>
      <c r="C21" s="13" t="s">
        <v>171</v>
      </c>
      <c r="D21" s="35">
        <f>ROUND(D22+D23,2)</f>
        <v>36.37</v>
      </c>
      <c r="E21" s="35">
        <f>ROUND(E22+E23,2)</f>
        <v>36.37</v>
      </c>
    </row>
    <row r="22" spans="1:5" ht="16.5" customHeight="1">
      <c r="A22" s="13" t="s">
        <v>259</v>
      </c>
      <c r="B22" s="161" t="s">
        <v>260</v>
      </c>
      <c r="C22" s="13" t="s">
        <v>171</v>
      </c>
      <c r="D22" s="36">
        <v>0</v>
      </c>
      <c r="E22" s="36">
        <v>0</v>
      </c>
    </row>
    <row r="23" spans="1:5" ht="16.5" customHeight="1">
      <c r="A23" s="13" t="s">
        <v>261</v>
      </c>
      <c r="B23" s="161" t="s">
        <v>262</v>
      </c>
      <c r="C23" s="13" t="s">
        <v>171</v>
      </c>
      <c r="D23" s="36">
        <f>D24+D25+D26</f>
        <v>36.370999999999995</v>
      </c>
      <c r="E23" s="36">
        <f>E24+E25+E26</f>
        <v>36.370999999999995</v>
      </c>
    </row>
    <row r="24" spans="1:5" ht="34.5" customHeight="1">
      <c r="A24" s="13">
        <v>11</v>
      </c>
      <c r="B24" s="161" t="s">
        <v>263</v>
      </c>
      <c r="C24" s="13" t="s">
        <v>171</v>
      </c>
      <c r="D24" s="162">
        <v>0</v>
      </c>
      <c r="E24" s="36">
        <v>0</v>
      </c>
    </row>
    <row r="25" spans="1:5" ht="31.5">
      <c r="A25" s="2">
        <v>12</v>
      </c>
      <c r="B25" s="7" t="s">
        <v>172</v>
      </c>
      <c r="C25" s="2" t="s">
        <v>171</v>
      </c>
      <c r="D25" s="35">
        <f>'[3]ОБЪЕМЫ'!$D$14</f>
        <v>9.631</v>
      </c>
      <c r="E25" s="34">
        <f>D25</f>
        <v>9.631</v>
      </c>
    </row>
    <row r="26" spans="1:5" ht="31.5">
      <c r="A26" s="2">
        <v>13</v>
      </c>
      <c r="B26" s="8" t="s">
        <v>173</v>
      </c>
      <c r="C26" s="2" t="s">
        <v>171</v>
      </c>
      <c r="D26" s="35">
        <f>ROUND(D27+D29+D30+D32,2)</f>
        <v>26.74</v>
      </c>
      <c r="E26" s="35">
        <f>ROUND(E27+E29+E30+E32,2)</f>
        <v>26.74</v>
      </c>
    </row>
    <row r="27" spans="1:5" ht="15.75">
      <c r="A27" s="43" t="s">
        <v>264</v>
      </c>
      <c r="B27" s="8" t="s">
        <v>216</v>
      </c>
      <c r="C27" s="2" t="s">
        <v>171</v>
      </c>
      <c r="D27" s="35">
        <f>'[3]ОБЪЕМЫ'!$D$3</f>
        <v>23.328370919999998</v>
      </c>
      <c r="E27" s="34">
        <f aca="true" t="shared" si="0" ref="E27:E34">D27</f>
        <v>23.328370919999998</v>
      </c>
    </row>
    <row r="28" spans="1:5" ht="16.5" customHeight="1">
      <c r="A28" s="163" t="s">
        <v>265</v>
      </c>
      <c r="B28" s="8" t="s">
        <v>217</v>
      </c>
      <c r="C28" s="2" t="s">
        <v>171</v>
      </c>
      <c r="D28" s="39">
        <f>'[3]ОБЪЕМЫ'!$D$7</f>
        <v>5.958</v>
      </c>
      <c r="E28" s="34">
        <f t="shared" si="0"/>
        <v>5.958</v>
      </c>
    </row>
    <row r="29" spans="1:5" ht="15.75">
      <c r="A29" s="43" t="s">
        <v>266</v>
      </c>
      <c r="B29" s="8" t="s">
        <v>174</v>
      </c>
      <c r="C29" s="2" t="s">
        <v>171</v>
      </c>
      <c r="D29" s="35">
        <f>'[3]ОБЪЕМЫ'!$D$12</f>
        <v>1.627</v>
      </c>
      <c r="E29" s="34">
        <f t="shared" si="0"/>
        <v>1.627</v>
      </c>
    </row>
    <row r="30" spans="1:5" ht="15.75">
      <c r="A30" s="43" t="s">
        <v>267</v>
      </c>
      <c r="B30" s="8" t="s">
        <v>218</v>
      </c>
      <c r="C30" s="2" t="s">
        <v>171</v>
      </c>
      <c r="D30" s="35">
        <f>'[3]ОБЪЕМЫ'!$D$8</f>
        <v>1.343</v>
      </c>
      <c r="E30" s="34">
        <f t="shared" si="0"/>
        <v>1.343</v>
      </c>
    </row>
    <row r="31" spans="1:5" ht="15.75">
      <c r="A31" s="43" t="s">
        <v>268</v>
      </c>
      <c r="B31" s="8" t="s">
        <v>217</v>
      </c>
      <c r="C31" s="2" t="s">
        <v>171</v>
      </c>
      <c r="D31" s="39">
        <f>'[3]ОБЪЕМЫ'!$D$9</f>
        <v>0.534</v>
      </c>
      <c r="E31" s="34">
        <f t="shared" si="0"/>
        <v>0.534</v>
      </c>
    </row>
    <row r="32" spans="1:5" ht="15.75">
      <c r="A32" s="43" t="s">
        <v>269</v>
      </c>
      <c r="B32" s="8" t="s">
        <v>219</v>
      </c>
      <c r="C32" s="2" t="s">
        <v>171</v>
      </c>
      <c r="D32" s="39">
        <f>'[3]ОБЪЕМЫ'!$D$10</f>
        <v>0.445</v>
      </c>
      <c r="E32" s="34">
        <f t="shared" si="0"/>
        <v>0.445</v>
      </c>
    </row>
    <row r="33" spans="1:5" ht="15.75">
      <c r="A33" s="43" t="s">
        <v>270</v>
      </c>
      <c r="B33" s="8" t="s">
        <v>217</v>
      </c>
      <c r="C33" s="2" t="s">
        <v>171</v>
      </c>
      <c r="D33" s="39">
        <f>'[3]ОБЪЕМЫ'!$D$11</f>
        <v>0.27</v>
      </c>
      <c r="E33" s="34">
        <f t="shared" si="0"/>
        <v>0.27</v>
      </c>
    </row>
    <row r="34" spans="1:5" ht="15.75">
      <c r="A34" s="2">
        <v>14</v>
      </c>
      <c r="B34" s="31" t="s">
        <v>175</v>
      </c>
      <c r="C34" s="164" t="s">
        <v>275</v>
      </c>
      <c r="D34" s="1">
        <f>'[3]Брагино, Детлово'!$G$15</f>
        <v>35.64</v>
      </c>
      <c r="E34" s="1">
        <f t="shared" si="0"/>
        <v>35.64</v>
      </c>
    </row>
    <row r="35" spans="1:5" ht="63">
      <c r="A35" s="2">
        <v>15</v>
      </c>
      <c r="B35" s="31" t="s">
        <v>209</v>
      </c>
      <c r="C35" s="32"/>
      <c r="D35" s="39"/>
      <c r="E35" s="34"/>
    </row>
    <row r="36" spans="1:5" ht="15" customHeight="1">
      <c r="A36" s="43" t="s">
        <v>271</v>
      </c>
      <c r="B36" s="154" t="s">
        <v>246</v>
      </c>
      <c r="C36" s="156" t="s">
        <v>252</v>
      </c>
      <c r="D36" s="39">
        <f>D34/D16</f>
        <v>0.9799285125103108</v>
      </c>
      <c r="E36" s="39">
        <f>E34/E16</f>
        <v>0.9799285125103108</v>
      </c>
    </row>
    <row r="37" spans="1:5" ht="15" customHeight="1">
      <c r="A37" s="43" t="s">
        <v>272</v>
      </c>
      <c r="B37" s="154" t="s">
        <v>250</v>
      </c>
      <c r="C37" s="156" t="s">
        <v>252</v>
      </c>
      <c r="D37" s="39">
        <v>0</v>
      </c>
      <c r="E37" s="39">
        <v>0</v>
      </c>
    </row>
    <row r="38" spans="1:5" ht="15.75" customHeight="1">
      <c r="A38" s="43" t="s">
        <v>273</v>
      </c>
      <c r="B38" s="154" t="s">
        <v>274</v>
      </c>
      <c r="C38" s="156" t="s">
        <v>252</v>
      </c>
      <c r="D38" s="39">
        <v>0</v>
      </c>
      <c r="E38" s="34">
        <f>D38</f>
        <v>0</v>
      </c>
    </row>
    <row r="39" spans="1:5" ht="31.5">
      <c r="A39" s="2">
        <v>16</v>
      </c>
      <c r="B39" s="31" t="s">
        <v>210</v>
      </c>
      <c r="C39" s="8"/>
      <c r="D39" s="8"/>
      <c r="E39" s="8"/>
    </row>
    <row r="40" spans="1:5" ht="15.75">
      <c r="A40" s="43" t="s">
        <v>276</v>
      </c>
      <c r="B40" s="154" t="s">
        <v>278</v>
      </c>
      <c r="C40" s="32" t="s">
        <v>211</v>
      </c>
      <c r="D40" s="39">
        <v>0.1</v>
      </c>
      <c r="E40" s="153">
        <f>D40</f>
        <v>0.1</v>
      </c>
    </row>
    <row r="41" spans="1:5" ht="15.75">
      <c r="A41" s="20">
        <v>17</v>
      </c>
      <c r="B41" s="21" t="s">
        <v>194</v>
      </c>
      <c r="C41" s="20" t="s">
        <v>189</v>
      </c>
      <c r="D41" s="39">
        <f>'[3]Брагино, Детлово'!$O$11</f>
        <v>1.056</v>
      </c>
      <c r="E41" s="153">
        <f>D41</f>
        <v>1.056</v>
      </c>
    </row>
    <row r="42" spans="1:5" ht="31.5">
      <c r="A42" s="2">
        <v>18</v>
      </c>
      <c r="B42" s="155" t="s">
        <v>247</v>
      </c>
      <c r="C42" s="8"/>
      <c r="D42" s="39"/>
      <c r="E42" s="153"/>
    </row>
    <row r="43" spans="1:5" ht="15.75">
      <c r="A43" s="43" t="s">
        <v>277</v>
      </c>
      <c r="B43" s="8" t="s">
        <v>222</v>
      </c>
      <c r="C43" s="2" t="s">
        <v>189</v>
      </c>
      <c r="D43" s="39">
        <f>'[3]Брагино, Детлово'!$O$12</f>
        <v>1.073</v>
      </c>
      <c r="E43" s="153">
        <f>D43</f>
        <v>1.073</v>
      </c>
    </row>
    <row r="44" ht="15.75" outlineLevel="1"/>
    <row r="45" ht="15.75" outlineLevel="1"/>
    <row r="47" ht="15.75" outlineLevel="1"/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10.421875" style="10" customWidth="1"/>
    <col min="2" max="2" width="37.00390625" style="10" customWidth="1"/>
    <col min="3" max="3" width="14.421875" style="11" customWidth="1"/>
    <col min="4" max="4" width="12.00390625" style="11" customWidth="1"/>
    <col min="5" max="5" width="13.1406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3:5" ht="45" customHeight="1">
      <c r="C1" s="174" t="s">
        <v>238</v>
      </c>
      <c r="D1" s="174"/>
      <c r="E1" s="174"/>
    </row>
    <row r="2" ht="23.25" customHeight="1">
      <c r="B2" s="37"/>
    </row>
    <row r="3" spans="1:7" ht="24.75" customHeight="1">
      <c r="A3" s="166" t="s">
        <v>228</v>
      </c>
      <c r="B3" s="166"/>
      <c r="C3" s="166"/>
      <c r="D3" s="166"/>
      <c r="E3" s="166"/>
      <c r="G3" s="33"/>
    </row>
    <row r="4" spans="1:5" ht="55.5" customHeight="1">
      <c r="A4" s="167" t="str">
        <f>'пр 1'!A4:E4</f>
        <v>общества с ограниченной ответственностью «Марининский ЭнергоРесурс» (Курагинский район, с. Маринино, ИНН 2423010846)
 (Брагинский сельсовет, Детловский сельсовет)</v>
      </c>
      <c r="B4" s="167"/>
      <c r="C4" s="167"/>
      <c r="D4" s="167"/>
      <c r="E4" s="167"/>
    </row>
    <row r="5" ht="16.5" customHeight="1">
      <c r="E5" s="12" t="s">
        <v>157</v>
      </c>
    </row>
    <row r="6" spans="1:5" ht="17.25" customHeight="1">
      <c r="A6" s="173" t="s">
        <v>158</v>
      </c>
      <c r="B6" s="173" t="s">
        <v>0</v>
      </c>
      <c r="C6" s="173" t="s">
        <v>223</v>
      </c>
      <c r="D6" s="173"/>
      <c r="E6" s="173"/>
    </row>
    <row r="7" spans="1:5" ht="67.5" customHeight="1">
      <c r="A7" s="173"/>
      <c r="B7" s="173"/>
      <c r="C7" s="13" t="s">
        <v>199</v>
      </c>
      <c r="D7" s="13" t="s">
        <v>155</v>
      </c>
      <c r="E7" s="14" t="s">
        <v>156</v>
      </c>
    </row>
    <row r="8" spans="1:5" ht="15.75">
      <c r="A8" s="14">
        <v>1</v>
      </c>
      <c r="B8" s="14">
        <v>2</v>
      </c>
      <c r="C8" s="15">
        <v>3</v>
      </c>
      <c r="D8" s="15">
        <v>4</v>
      </c>
      <c r="E8" s="15">
        <v>5</v>
      </c>
    </row>
    <row r="9" spans="1:5" ht="15.75">
      <c r="A9" s="16">
        <v>1</v>
      </c>
      <c r="B9" s="17" t="s">
        <v>25</v>
      </c>
      <c r="C9" s="40">
        <f>'[3]Брагино, Детлово'!$G$10</f>
        <v>891.84</v>
      </c>
      <c r="D9" s="40">
        <f>'[3]Брагино, Детлово'!$I$10</f>
        <v>891.84</v>
      </c>
      <c r="E9" s="40">
        <f>D9-C9</f>
        <v>0</v>
      </c>
    </row>
    <row r="10" spans="1:5" ht="15.75">
      <c r="A10" s="19">
        <v>2</v>
      </c>
      <c r="B10" s="18" t="s">
        <v>72</v>
      </c>
      <c r="C10" s="41">
        <f>'[3]Брагино, Детлово'!$G$60</f>
        <v>816.2</v>
      </c>
      <c r="D10" s="41">
        <f>'[3]Брагино, Детлово'!$I$60</f>
        <v>816.2</v>
      </c>
      <c r="E10" s="40">
        <f aca="true" t="shared" si="0" ref="E10:E15">D10-C10</f>
        <v>0</v>
      </c>
    </row>
    <row r="11" spans="1:5" ht="15.75">
      <c r="A11" s="19">
        <v>3</v>
      </c>
      <c r="B11" s="18" t="s">
        <v>200</v>
      </c>
      <c r="C11" s="41">
        <f>'[3]Брагино, Детлово'!$G$73</f>
        <v>238.29</v>
      </c>
      <c r="D11" s="41">
        <f>'[3]Брагино, Детлово'!$I$73</f>
        <v>238.29</v>
      </c>
      <c r="E11" s="40">
        <f t="shared" si="0"/>
        <v>0</v>
      </c>
    </row>
    <row r="12" spans="1:5" ht="31.5">
      <c r="A12" s="19">
        <v>4</v>
      </c>
      <c r="B12" s="17" t="s">
        <v>113</v>
      </c>
      <c r="C12" s="41">
        <f>'[3]Брагино, Детлово'!$G$79</f>
        <v>0</v>
      </c>
      <c r="D12" s="41">
        <f>'[3]Брагино, Детлово'!$I$79</f>
        <v>0</v>
      </c>
      <c r="E12" s="40">
        <f t="shared" si="0"/>
        <v>0</v>
      </c>
    </row>
    <row r="13" spans="1:5" ht="31.5">
      <c r="A13" s="19">
        <v>5</v>
      </c>
      <c r="B13" s="17" t="s">
        <v>201</v>
      </c>
      <c r="C13" s="41">
        <f>'[3]Брагино, Детлово'!$G$80</f>
        <v>0</v>
      </c>
      <c r="D13" s="42">
        <f>'[3]Брагино, Детлово'!$I$80</f>
        <v>0</v>
      </c>
      <c r="E13" s="40">
        <f t="shared" si="0"/>
        <v>0</v>
      </c>
    </row>
    <row r="14" spans="1:5" ht="47.25">
      <c r="A14" s="19">
        <v>6</v>
      </c>
      <c r="B14" s="17" t="s">
        <v>212</v>
      </c>
      <c r="C14" s="41">
        <f>'[3]Брагино, Детлово'!$G$81</f>
        <v>96.36</v>
      </c>
      <c r="D14" s="42">
        <f>'[3]Брагино, Детлово'!$I$81</f>
        <v>96.36</v>
      </c>
      <c r="E14" s="40">
        <f t="shared" si="0"/>
        <v>0</v>
      </c>
    </row>
    <row r="15" spans="1:5" ht="31.5">
      <c r="A15" s="19">
        <v>7</v>
      </c>
      <c r="B15" s="17" t="s">
        <v>213</v>
      </c>
      <c r="C15" s="41">
        <f>'[3]Брагино, Детлово'!$G$85</f>
        <v>3.11</v>
      </c>
      <c r="D15" s="41">
        <f>'[3]Брагино, Детлово'!$I$85</f>
        <v>3.11</v>
      </c>
      <c r="E15" s="40">
        <f t="shared" si="0"/>
        <v>0</v>
      </c>
    </row>
    <row r="16" spans="1:5" ht="15.75">
      <c r="A16" s="38">
        <v>8</v>
      </c>
      <c r="B16" s="17" t="s">
        <v>202</v>
      </c>
      <c r="C16" s="41">
        <f>SUM(C9:C15)</f>
        <v>2045.7999999999997</v>
      </c>
      <c r="D16" s="41">
        <f>SUM(D9:D15)</f>
        <v>2045.7999999999997</v>
      </c>
      <c r="E16" s="41">
        <f>SUM(E9:E15)</f>
        <v>0</v>
      </c>
    </row>
  </sheetData>
  <sheetProtection/>
  <mergeCells count="6">
    <mergeCell ref="A6:A7"/>
    <mergeCell ref="B6:B7"/>
    <mergeCell ref="C6:E6"/>
    <mergeCell ref="A4:E4"/>
    <mergeCell ref="C1:E1"/>
    <mergeCell ref="A3:E3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7"/>
  <sheetViews>
    <sheetView view="pageLayout" workbookViewId="0" topLeftCell="A1">
      <selection activeCell="F9" sqref="F9"/>
    </sheetView>
  </sheetViews>
  <sheetFormatPr defaultColWidth="9.140625" defaultRowHeight="12.75" outlineLevelCol="1"/>
  <cols>
    <col min="1" max="1" width="7.421875" style="22" customWidth="1"/>
    <col min="2" max="2" width="38.00390625" style="22" customWidth="1"/>
    <col min="3" max="3" width="14.140625" style="22" customWidth="1"/>
    <col min="4" max="4" width="14.140625" style="22" customWidth="1" outlineLevel="1"/>
    <col min="5" max="5" width="14.140625" style="22" customWidth="1"/>
    <col min="6" max="6" width="27.421875" style="22" customWidth="1"/>
    <col min="7" max="16384" width="9.140625" style="22" customWidth="1"/>
  </cols>
  <sheetData>
    <row r="1" spans="2:5" ht="41.25" customHeight="1">
      <c r="B1" s="23"/>
      <c r="C1" s="175" t="s">
        <v>239</v>
      </c>
      <c r="D1" s="175"/>
      <c r="E1" s="175"/>
    </row>
    <row r="2" spans="1:6" ht="19.5" customHeight="1">
      <c r="A2" s="24"/>
      <c r="B2" s="25"/>
      <c r="C2" s="24"/>
      <c r="D2" s="24"/>
      <c r="E2" s="24"/>
      <c r="F2" s="33"/>
    </row>
    <row r="3" spans="1:6" ht="18.75" customHeight="1">
      <c r="A3" s="176" t="s">
        <v>233</v>
      </c>
      <c r="B3" s="176"/>
      <c r="C3" s="176"/>
      <c r="D3" s="176"/>
      <c r="E3" s="176"/>
      <c r="F3" s="30"/>
    </row>
    <row r="4" spans="1:5" ht="60.75" customHeight="1">
      <c r="A4" s="167" t="str">
        <f>'пр 1'!A4:E4</f>
        <v>общества с ограниченной ответственностью «Марининский ЭнергоРесурс» (Курагинский район, с. Маринино, ИНН 2423010846)
 (Брагинский сельсовет, Детловский сельсовет)</v>
      </c>
      <c r="B4" s="167"/>
      <c r="C4" s="167"/>
      <c r="D4" s="167"/>
      <c r="E4" s="167"/>
    </row>
    <row r="5" spans="1:5" ht="18.75">
      <c r="A5" s="9"/>
      <c r="B5" s="9"/>
      <c r="C5" s="9"/>
      <c r="D5" s="9"/>
      <c r="E5" s="9"/>
    </row>
    <row r="6" spans="1:5" ht="24.75" customHeight="1">
      <c r="A6" s="177" t="s">
        <v>158</v>
      </c>
      <c r="B6" s="177" t="s">
        <v>169</v>
      </c>
      <c r="C6" s="177" t="s">
        <v>170</v>
      </c>
      <c r="D6" s="177" t="s">
        <v>207</v>
      </c>
      <c r="E6" s="177" t="s">
        <v>208</v>
      </c>
    </row>
    <row r="7" spans="1:5" ht="47.25" customHeight="1">
      <c r="A7" s="177"/>
      <c r="B7" s="177"/>
      <c r="C7" s="177"/>
      <c r="D7" s="177"/>
      <c r="E7" s="177"/>
    </row>
    <row r="8" spans="1:5" ht="18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6" ht="29.25" customHeight="1">
      <c r="A9" s="26">
        <v>1</v>
      </c>
      <c r="B9" s="27" t="s">
        <v>188</v>
      </c>
      <c r="C9" s="26" t="s">
        <v>189</v>
      </c>
      <c r="D9" s="29">
        <f>'[3]анализ ф.3 брагино,детлово'!$I$19/'[3]анализ ф.3 брагино,детлово'!$I$18*100</f>
        <v>2.3397433571356734</v>
      </c>
      <c r="E9" s="29">
        <f>'пр 1'!E15/'пр 1'!E14*100</f>
        <v>6.313131313131313</v>
      </c>
      <c r="F9" s="30"/>
    </row>
    <row r="10" spans="1:5" ht="15.75">
      <c r="A10" s="26">
        <f>A9+1</f>
        <v>2</v>
      </c>
      <c r="B10" s="28" t="s">
        <v>190</v>
      </c>
      <c r="C10" s="26" t="s">
        <v>189</v>
      </c>
      <c r="D10" s="29">
        <f>'[3]анализ ф.3 брагино,детлово'!$I$31/'[3]анализ ф.3 брагино,детлово'!$I$27*100</f>
        <v>18.30065359477124</v>
      </c>
      <c r="E10" s="29">
        <f>'[3]анализ ф.3 брагино,детлово'!$I$31/'[3]анализ ф.3 брагино,детлово'!$I$27*100</f>
        <v>18.30065359477124</v>
      </c>
    </row>
    <row r="11" spans="1:5" ht="31.5">
      <c r="A11" s="26">
        <f>A10+1</f>
        <v>3</v>
      </c>
      <c r="B11" s="28" t="s">
        <v>203</v>
      </c>
      <c r="C11" s="26" t="s">
        <v>191</v>
      </c>
      <c r="D11" s="29">
        <f>'[3]анализ ф.3 брагино,детлово'!$I$46</f>
        <v>1047</v>
      </c>
      <c r="E11" s="29">
        <f>'[3]анализ ф.3 брагино,детлово'!$J$46</f>
        <v>1007</v>
      </c>
    </row>
    <row r="12" spans="1:5" ht="31.5">
      <c r="A12" s="26">
        <f>A11+1</f>
        <v>4</v>
      </c>
      <c r="B12" s="28" t="s">
        <v>192</v>
      </c>
      <c r="C12" s="26" t="s">
        <v>193</v>
      </c>
      <c r="D12" s="29">
        <f>'[3]анализ ф.3 брагино,детлово'!$I$47</f>
        <v>8784</v>
      </c>
      <c r="E12" s="29">
        <f>'[5]анализ ф.3 березовка'!$J$47</f>
        <v>8760</v>
      </c>
    </row>
    <row r="13" spans="1:5" ht="15.75">
      <c r="A13" s="26">
        <f>A12+1</f>
        <v>5</v>
      </c>
      <c r="B13" s="27" t="s">
        <v>204</v>
      </c>
      <c r="C13" s="26"/>
      <c r="D13" s="29"/>
      <c r="E13" s="44"/>
    </row>
    <row r="14" spans="1:5" ht="15.75">
      <c r="A14" s="26" t="s">
        <v>248</v>
      </c>
      <c r="B14" s="28" t="s">
        <v>246</v>
      </c>
      <c r="C14" s="156" t="s">
        <v>252</v>
      </c>
      <c r="D14" s="29">
        <f>'[3]анализ ф.3 брагино,детлово'!$I$51</f>
        <v>1.200234829684515</v>
      </c>
      <c r="E14" s="44">
        <f>'пр 1'!E36</f>
        <v>0.9799285125103108</v>
      </c>
    </row>
    <row r="15" spans="1:5" ht="15.75">
      <c r="A15" s="26" t="s">
        <v>249</v>
      </c>
      <c r="B15" s="28" t="s">
        <v>250</v>
      </c>
      <c r="C15" s="156" t="s">
        <v>252</v>
      </c>
      <c r="D15" s="29">
        <f>'пр 1'!D37</f>
        <v>0</v>
      </c>
      <c r="E15" s="29">
        <f>'пр 1'!E37</f>
        <v>0</v>
      </c>
    </row>
    <row r="16" spans="1:5" ht="15.75" customHeight="1">
      <c r="A16" s="26" t="s">
        <v>251</v>
      </c>
      <c r="B16" s="28" t="s">
        <v>205</v>
      </c>
      <c r="C16" s="156" t="s">
        <v>252</v>
      </c>
      <c r="D16" s="29">
        <v>0</v>
      </c>
      <c r="E16" s="44">
        <f>'пр 1'!E38</f>
        <v>0</v>
      </c>
    </row>
    <row r="17" spans="1:5" ht="15.75" customHeight="1">
      <c r="A17" s="26">
        <v>6</v>
      </c>
      <c r="B17" s="28" t="s">
        <v>206</v>
      </c>
      <c r="C17" s="26" t="s">
        <v>189</v>
      </c>
      <c r="D17" s="29">
        <f>(('[3]анализ ф.3 брагино,детлово'!$I$35*'[3]анализ ф.3 брагино,детлово'!$I$39%)+('[3]анализ ф.3 брагино,детлово'!$I$41*'[3]анализ ф.3 брагино,детлово'!$I$42%))/'[3]анализ ф.3 брагино,детлово'!$I$34*100</f>
        <v>22.35752859424647</v>
      </c>
      <c r="E17" s="29">
        <f>('пр 1'!E28+'пр 1'!E31+'пр 1'!E33)/'пр 1'!E26*100</f>
        <v>25.28795811518325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1"/>
  <sheetViews>
    <sheetView tabSelected="1" view="pageLayout" workbookViewId="0" topLeftCell="A1">
      <selection activeCell="D21" sqref="D21"/>
    </sheetView>
  </sheetViews>
  <sheetFormatPr defaultColWidth="9.140625" defaultRowHeight="12.75"/>
  <cols>
    <col min="1" max="1" width="5.8515625" style="45" customWidth="1"/>
    <col min="2" max="2" width="34.28125" style="45" customWidth="1"/>
    <col min="3" max="3" width="14.421875" style="45" customWidth="1"/>
    <col min="4" max="5" width="15.8515625" style="45" customWidth="1"/>
    <col min="6" max="16384" width="9.140625" style="45" customWidth="1"/>
  </cols>
  <sheetData>
    <row r="1" spans="3:6" ht="37.5" customHeight="1">
      <c r="C1" s="175" t="s">
        <v>240</v>
      </c>
      <c r="D1" s="175"/>
      <c r="E1" s="175"/>
      <c r="F1" s="23"/>
    </row>
    <row r="2" spans="4:5" ht="17.25" customHeight="1">
      <c r="D2" s="181"/>
      <c r="E2" s="181"/>
    </row>
    <row r="3" spans="1:5" ht="17.25" customHeight="1">
      <c r="A3" s="183" t="s">
        <v>229</v>
      </c>
      <c r="B3" s="183"/>
      <c r="C3" s="183"/>
      <c r="D3" s="183"/>
      <c r="E3" s="183"/>
    </row>
    <row r="4" spans="1:5" ht="58.5" customHeight="1">
      <c r="A4" s="167" t="str">
        <f>'пр 1'!A4:E4</f>
        <v>общества с ограниченной ответственностью «Марининский ЭнергоРесурс» (Курагинский район, с. Маринино, ИНН 2423010846)
 (Брагинский сельсовет, Детловский сельсовет)</v>
      </c>
      <c r="B4" s="167"/>
      <c r="C4" s="167"/>
      <c r="D4" s="167"/>
      <c r="E4" s="167"/>
    </row>
    <row r="6" spans="1:5" s="46" customFormat="1" ht="21" customHeight="1">
      <c r="A6" s="182" t="s">
        <v>158</v>
      </c>
      <c r="B6" s="182" t="s">
        <v>224</v>
      </c>
      <c r="C6" s="182" t="s">
        <v>170</v>
      </c>
      <c r="D6" s="178" t="s">
        <v>225</v>
      </c>
      <c r="E6" s="180"/>
    </row>
    <row r="7" spans="1:5" s="46" customFormat="1" ht="39" customHeight="1">
      <c r="A7" s="182"/>
      <c r="B7" s="182"/>
      <c r="C7" s="182"/>
      <c r="D7" s="49" t="s">
        <v>230</v>
      </c>
      <c r="E7" s="47" t="s">
        <v>231</v>
      </c>
    </row>
    <row r="8" spans="1:5" s="46" customFormat="1" ht="15.75">
      <c r="A8" s="47">
        <v>1</v>
      </c>
      <c r="B8" s="47">
        <v>2</v>
      </c>
      <c r="C8" s="47">
        <v>3</v>
      </c>
      <c r="D8" s="178"/>
      <c r="E8" s="180"/>
    </row>
    <row r="9" spans="1:5" ht="15.75">
      <c r="A9" s="152">
        <v>1</v>
      </c>
      <c r="B9" s="48" t="s">
        <v>245</v>
      </c>
      <c r="C9" s="178"/>
      <c r="D9" s="179"/>
      <c r="E9" s="180"/>
    </row>
    <row r="10" spans="1:5" ht="37.5" customHeight="1">
      <c r="A10" s="152" t="s">
        <v>20</v>
      </c>
      <c r="B10" s="48" t="s">
        <v>226</v>
      </c>
      <c r="C10" s="47" t="s">
        <v>232</v>
      </c>
      <c r="D10" s="50">
        <f>'[3]Брагино, Детлово'!$J$105</f>
        <v>74.49</v>
      </c>
      <c r="E10" s="50">
        <f>'[3]Брагино, Детлово'!$K$105</f>
        <v>78.52</v>
      </c>
    </row>
    <row r="11" spans="1:5" ht="31.5">
      <c r="A11" s="152" t="s">
        <v>21</v>
      </c>
      <c r="B11" s="48" t="s">
        <v>227</v>
      </c>
      <c r="C11" s="47" t="s">
        <v>232</v>
      </c>
      <c r="D11" s="50">
        <f>'[3]Брагино, Детлово'!$J$106</f>
        <v>87.9</v>
      </c>
      <c r="E11" s="50">
        <f>'[3]Брагино, Детлово'!$K$106</f>
        <v>92.65</v>
      </c>
    </row>
  </sheetData>
  <sheetProtection/>
  <mergeCells count="10">
    <mergeCell ref="C9:E9"/>
    <mergeCell ref="C1:E1"/>
    <mergeCell ref="D8:E8"/>
    <mergeCell ref="D2:E2"/>
    <mergeCell ref="A4:E4"/>
    <mergeCell ref="A6:A7"/>
    <mergeCell ref="B6:B7"/>
    <mergeCell ref="C6:C7"/>
    <mergeCell ref="D6:E6"/>
    <mergeCell ref="A3:E3"/>
  </mergeCells>
  <printOptions/>
  <pageMargins left="0.7874015748031497" right="0.5905511811023623" top="0.7874015748031497" bottom="0.7874015748031497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6.57421875" style="52" customWidth="1"/>
    <col min="2" max="2" width="38.421875" style="52" customWidth="1"/>
    <col min="3" max="3" width="13.28125" style="52" customWidth="1"/>
    <col min="4" max="4" width="13.140625" style="52" customWidth="1"/>
    <col min="5" max="5" width="15.00390625" style="52" customWidth="1"/>
    <col min="6" max="6" width="22.00390625" style="52" customWidth="1"/>
    <col min="7" max="16384" width="9.140625" style="52" customWidth="1"/>
  </cols>
  <sheetData>
    <row r="1" spans="1:5" ht="18.75">
      <c r="A1" s="51"/>
      <c r="B1" s="51"/>
      <c r="C1" s="184" t="s">
        <v>241</v>
      </c>
      <c r="D1" s="184"/>
      <c r="E1" s="184"/>
    </row>
    <row r="2" spans="1:5" ht="18.75">
      <c r="A2" s="53"/>
      <c r="B2" s="53"/>
      <c r="C2" s="53"/>
      <c r="D2" s="53"/>
      <c r="E2" s="54"/>
    </row>
    <row r="3" spans="1:5" ht="18.75" customHeight="1">
      <c r="A3" s="185" t="s">
        <v>164</v>
      </c>
      <c r="B3" s="185"/>
      <c r="C3" s="185"/>
      <c r="D3" s="185"/>
      <c r="E3" s="185"/>
    </row>
    <row r="4" spans="1:8" ht="57.75" customHeight="1">
      <c r="A4" s="186" t="str">
        <f>'[4]пр 1'!A4:E4</f>
        <v>Федерального государственного унитарного предприятия "Горно-Химический комбинат"(питьевая вода)
(г. Железногорск, ИНН 2452000401)</v>
      </c>
      <c r="B4" s="186"/>
      <c r="C4" s="186"/>
      <c r="D4" s="186"/>
      <c r="E4" s="186"/>
      <c r="F4" s="55" t="s">
        <v>221</v>
      </c>
      <c r="G4" s="56"/>
      <c r="H4" s="56"/>
    </row>
    <row r="5" spans="1:8" ht="18.75">
      <c r="A5" s="57"/>
      <c r="B5" s="57"/>
      <c r="C5" s="57"/>
      <c r="D5" s="57"/>
      <c r="E5" s="57"/>
      <c r="F5" s="56"/>
      <c r="G5" s="56"/>
      <c r="H5" s="56"/>
    </row>
    <row r="6" spans="1:5" ht="27.75" customHeight="1">
      <c r="A6" s="187" t="s">
        <v>158</v>
      </c>
      <c r="B6" s="187" t="s">
        <v>159</v>
      </c>
      <c r="C6" s="189" t="s">
        <v>214</v>
      </c>
      <c r="D6" s="190"/>
      <c r="E6" s="187" t="s">
        <v>156</v>
      </c>
    </row>
    <row r="7" spans="1:5" ht="36.75" customHeight="1">
      <c r="A7" s="188"/>
      <c r="B7" s="188"/>
      <c r="C7" s="13" t="s">
        <v>160</v>
      </c>
      <c r="D7" s="13" t="s">
        <v>155</v>
      </c>
      <c r="E7" s="188"/>
    </row>
    <row r="8" spans="1:5" s="58" customFormat="1" ht="15.75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ht="94.5">
      <c r="A9" s="13" t="s">
        <v>161</v>
      </c>
      <c r="B9" s="17" t="s">
        <v>162</v>
      </c>
      <c r="C9" s="59"/>
      <c r="D9" s="59"/>
      <c r="E9" s="59">
        <f aca="true" t="shared" si="0" ref="E9:E14">+C9-D9</f>
        <v>0</v>
      </c>
    </row>
    <row r="10" spans="1:5" ht="15.75">
      <c r="A10" s="13" t="s">
        <v>71</v>
      </c>
      <c r="B10" s="60" t="s">
        <v>137</v>
      </c>
      <c r="C10" s="61"/>
      <c r="D10" s="61"/>
      <c r="E10" s="59">
        <f t="shared" si="0"/>
        <v>0</v>
      </c>
    </row>
    <row r="11" spans="1:5" ht="20.25" customHeight="1">
      <c r="A11" s="13" t="s">
        <v>91</v>
      </c>
      <c r="B11" s="60" t="s">
        <v>138</v>
      </c>
      <c r="C11" s="16"/>
      <c r="D11" s="16"/>
      <c r="E11" s="59">
        <f t="shared" si="0"/>
        <v>0</v>
      </c>
    </row>
    <row r="12" spans="1:5" ht="18.75" customHeight="1">
      <c r="A12" s="13">
        <v>4</v>
      </c>
      <c r="B12" s="62" t="s">
        <v>140</v>
      </c>
      <c r="C12" s="59"/>
      <c r="D12" s="59"/>
      <c r="E12" s="59">
        <f t="shared" si="0"/>
        <v>0</v>
      </c>
    </row>
    <row r="13" spans="1:5" ht="22.5" customHeight="1">
      <c r="A13" s="13" t="s">
        <v>121</v>
      </c>
      <c r="B13" s="62" t="s">
        <v>163</v>
      </c>
      <c r="C13" s="59"/>
      <c r="D13" s="59"/>
      <c r="E13" s="59">
        <f t="shared" si="0"/>
        <v>0</v>
      </c>
    </row>
    <row r="14" spans="1:5" ht="41.25" customHeight="1">
      <c r="A14" s="13" t="s">
        <v>123</v>
      </c>
      <c r="B14" s="62" t="s">
        <v>215</v>
      </c>
      <c r="C14" s="59"/>
      <c r="D14" s="59"/>
      <c r="E14" s="59">
        <f t="shared" si="0"/>
        <v>0</v>
      </c>
    </row>
    <row r="15" spans="1:5" ht="30" customHeight="1">
      <c r="A15" s="13" t="s">
        <v>128</v>
      </c>
      <c r="B15" s="17" t="s">
        <v>135</v>
      </c>
      <c r="C15" s="59"/>
      <c r="D15" s="59"/>
      <c r="E15" s="59">
        <f>SUM(E9:E14)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view="pageLayout" zoomScale="90" zoomScalePageLayoutView="90" workbookViewId="0" topLeftCell="A1">
      <selection activeCell="F1" sqref="F1:H1"/>
    </sheetView>
  </sheetViews>
  <sheetFormatPr defaultColWidth="9.140625" defaultRowHeight="12.75"/>
  <cols>
    <col min="1" max="1" width="8.421875" style="52" customWidth="1"/>
    <col min="2" max="2" width="42.00390625" style="52" customWidth="1"/>
    <col min="3" max="4" width="13.140625" style="52" customWidth="1"/>
    <col min="5" max="5" width="13.140625" style="137" customWidth="1"/>
    <col min="6" max="7" width="13.140625" style="52" customWidth="1"/>
    <col min="8" max="8" width="14.8515625" style="52" customWidth="1"/>
    <col min="9" max="11" width="14.00390625" style="52" hidden="1" customWidth="1"/>
    <col min="12" max="16384" width="9.140625" style="52" customWidth="1"/>
  </cols>
  <sheetData>
    <row r="1" spans="1:14" ht="42.75" customHeight="1">
      <c r="A1" s="63"/>
      <c r="C1" s="64"/>
      <c r="D1" s="64"/>
      <c r="E1" s="64"/>
      <c r="F1" s="193" t="s">
        <v>242</v>
      </c>
      <c r="G1" s="193"/>
      <c r="H1" s="193"/>
      <c r="I1" s="64"/>
      <c r="J1" s="64"/>
      <c r="K1" s="64"/>
      <c r="L1" s="64"/>
      <c r="N1" s="65" t="s">
        <v>220</v>
      </c>
    </row>
    <row r="2" spans="1:8" ht="18.75">
      <c r="A2" s="63"/>
      <c r="B2" s="63"/>
      <c r="C2" s="63"/>
      <c r="D2" s="63"/>
      <c r="E2" s="66"/>
      <c r="F2" s="63"/>
      <c r="G2" s="63"/>
      <c r="H2" s="63"/>
    </row>
    <row r="3" spans="1:13" ht="45" customHeight="1">
      <c r="A3" s="194" t="s">
        <v>234</v>
      </c>
      <c r="B3" s="194"/>
      <c r="C3" s="194"/>
      <c r="D3" s="194"/>
      <c r="E3" s="194"/>
      <c r="F3" s="194"/>
      <c r="G3" s="194"/>
      <c r="H3" s="194"/>
      <c r="I3" s="64"/>
      <c r="J3" s="64"/>
      <c r="K3" s="64"/>
      <c r="L3" s="64"/>
      <c r="M3" s="64"/>
    </row>
    <row r="4" spans="1:13" ht="42.75" customHeight="1">
      <c r="A4" s="186" t="str">
        <f>'[4]пр 1'!A4:E4</f>
        <v>Федерального государственного унитарного предприятия "Горно-Химический комбинат"(питьевая вода)
(г. Железногорск, ИНН 2452000401)</v>
      </c>
      <c r="B4" s="186"/>
      <c r="C4" s="186"/>
      <c r="D4" s="186"/>
      <c r="E4" s="186"/>
      <c r="F4" s="186"/>
      <c r="G4" s="186"/>
      <c r="H4" s="186"/>
      <c r="I4" s="67"/>
      <c r="J4" s="67"/>
      <c r="K4" s="67"/>
      <c r="L4" s="67"/>
      <c r="M4" s="67"/>
    </row>
    <row r="5" spans="1:8" ht="18.75">
      <c r="A5" s="195"/>
      <c r="B5" s="195"/>
      <c r="C5" s="195"/>
      <c r="D5" s="195"/>
      <c r="E5" s="195"/>
      <c r="F5" s="195"/>
      <c r="G5" s="195"/>
      <c r="H5" s="68"/>
    </row>
    <row r="6" spans="2:8" ht="19.5" thickBot="1">
      <c r="B6" s="68"/>
      <c r="C6" s="68"/>
      <c r="D6" s="68"/>
      <c r="E6" s="68"/>
      <c r="F6" s="68"/>
      <c r="H6" s="69" t="s">
        <v>157</v>
      </c>
    </row>
    <row r="7" spans="1:11" ht="84" customHeight="1">
      <c r="A7" s="196" t="s">
        <v>158</v>
      </c>
      <c r="B7" s="198" t="s">
        <v>0</v>
      </c>
      <c r="C7" s="191" t="s">
        <v>198</v>
      </c>
      <c r="D7" s="191" t="s">
        <v>196</v>
      </c>
      <c r="E7" s="191" t="s">
        <v>165</v>
      </c>
      <c r="F7" s="191" t="s">
        <v>166</v>
      </c>
      <c r="G7" s="191" t="s">
        <v>195</v>
      </c>
      <c r="H7" s="191" t="s">
        <v>197</v>
      </c>
      <c r="I7" s="70" t="s">
        <v>150</v>
      </c>
      <c r="J7" s="71" t="s">
        <v>151</v>
      </c>
      <c r="K7" s="72" t="s">
        <v>152</v>
      </c>
    </row>
    <row r="8" spans="1:11" ht="16.5" customHeight="1">
      <c r="A8" s="197"/>
      <c r="B8" s="199"/>
      <c r="C8" s="192"/>
      <c r="D8" s="192"/>
      <c r="E8" s="192"/>
      <c r="F8" s="192"/>
      <c r="G8" s="192"/>
      <c r="H8" s="192"/>
      <c r="I8" s="73"/>
      <c r="J8" s="74"/>
      <c r="K8" s="75"/>
    </row>
    <row r="9" spans="1:11" s="81" customFormat="1" ht="21" customHeight="1">
      <c r="A9" s="16">
        <v>1</v>
      </c>
      <c r="B9" s="16">
        <v>2</v>
      </c>
      <c r="C9" s="16">
        <v>3</v>
      </c>
      <c r="D9" s="16">
        <v>4</v>
      </c>
      <c r="E9" s="76"/>
      <c r="F9" s="77"/>
      <c r="G9" s="16">
        <v>5</v>
      </c>
      <c r="H9" s="78">
        <v>6</v>
      </c>
      <c r="I9" s="79" t="e">
        <f>I10+I11+I24+I25+I30+I32+I33+I41</f>
        <v>#REF!</v>
      </c>
      <c r="J9" s="16" t="e">
        <f>J10+J11+J24+J25+J30+J32+J33+J41</f>
        <v>#REF!</v>
      </c>
      <c r="K9" s="80" t="e">
        <f>K10+K11+K24+K25+K30+K32+K33+K41</f>
        <v>#REF!</v>
      </c>
    </row>
    <row r="10" spans="1:11" ht="33.75" customHeight="1">
      <c r="A10" s="16">
        <v>1</v>
      </c>
      <c r="B10" s="17" t="s">
        <v>25</v>
      </c>
      <c r="C10" s="17"/>
      <c r="D10" s="61"/>
      <c r="E10" s="16"/>
      <c r="F10" s="16"/>
      <c r="G10" s="16"/>
      <c r="H10" s="82" t="e">
        <f>G10/D10</f>
        <v>#DIV/0!</v>
      </c>
      <c r="I10" s="83"/>
      <c r="J10" s="16"/>
      <c r="K10" s="80"/>
    </row>
    <row r="11" spans="1:11" ht="39.75" customHeight="1" hidden="1">
      <c r="A11" s="16" t="s">
        <v>20</v>
      </c>
      <c r="B11" s="17" t="s">
        <v>26</v>
      </c>
      <c r="C11" s="17"/>
      <c r="D11" s="61"/>
      <c r="E11" s="84"/>
      <c r="F11" s="16"/>
      <c r="G11" s="61"/>
      <c r="H11" s="82" t="e">
        <f aca="true" t="shared" si="0" ref="H11:H74">G11/D11</f>
        <v>#DIV/0!</v>
      </c>
      <c r="I11" s="79">
        <f>I12+I21</f>
        <v>2450.8999999999996</v>
      </c>
      <c r="J11" s="61">
        <f>J12+J21</f>
        <v>3675.2699999999995</v>
      </c>
      <c r="K11" s="85">
        <f>K12+K21</f>
        <v>3944.64</v>
      </c>
    </row>
    <row r="12" spans="1:11" ht="28.5" customHeight="1" hidden="1">
      <c r="A12" s="16" t="s">
        <v>21</v>
      </c>
      <c r="B12" s="17" t="s">
        <v>27</v>
      </c>
      <c r="C12" s="17"/>
      <c r="D12" s="61"/>
      <c r="E12" s="84"/>
      <c r="F12" s="16"/>
      <c r="G12" s="61"/>
      <c r="H12" s="82" t="e">
        <f t="shared" si="0"/>
        <v>#DIV/0!</v>
      </c>
      <c r="I12" s="79">
        <f>I13</f>
        <v>548.03</v>
      </c>
      <c r="J12" s="61">
        <f>J13</f>
        <v>821.28</v>
      </c>
      <c r="K12" s="85">
        <f>K13</f>
        <v>920.23</v>
      </c>
    </row>
    <row r="13" spans="1:11" ht="30" customHeight="1" hidden="1">
      <c r="A13" s="16" t="s">
        <v>28</v>
      </c>
      <c r="B13" s="17" t="s">
        <v>29</v>
      </c>
      <c r="C13" s="17"/>
      <c r="D13" s="61"/>
      <c r="E13" s="86"/>
      <c r="F13" s="61"/>
      <c r="G13" s="16"/>
      <c r="H13" s="82" t="e">
        <f t="shared" si="0"/>
        <v>#DIV/0!</v>
      </c>
      <c r="I13" s="83">
        <f>ROUND(I14*I15,2)</f>
        <v>548.03</v>
      </c>
      <c r="J13" s="16">
        <f>ROUND(J14*J15,2)</f>
        <v>821.28</v>
      </c>
      <c r="K13" s="80">
        <f>ROUND(K14*K15,2)</f>
        <v>920.23</v>
      </c>
    </row>
    <row r="14" spans="1:11" s="91" customFormat="1" ht="30" customHeight="1" hidden="1">
      <c r="A14" s="16" t="s">
        <v>30</v>
      </c>
      <c r="B14" s="17" t="s">
        <v>31</v>
      </c>
      <c r="C14" s="17"/>
      <c r="D14" s="87"/>
      <c r="E14" s="84"/>
      <c r="F14" s="16"/>
      <c r="G14" s="16"/>
      <c r="H14" s="82" t="e">
        <f t="shared" si="0"/>
        <v>#DIV/0!</v>
      </c>
      <c r="I14" s="88">
        <f>294.78-3.43</f>
        <v>291.34999999999997</v>
      </c>
      <c r="J14" s="89">
        <f>442.18-5.56</f>
        <v>436.62</v>
      </c>
      <c r="K14" s="90">
        <f>442.18+3.43+5.56</f>
        <v>451.17</v>
      </c>
    </row>
    <row r="15" spans="1:11" s="91" customFormat="1" ht="20.25" customHeight="1" hidden="1">
      <c r="A15" s="16"/>
      <c r="B15" s="17" t="s">
        <v>32</v>
      </c>
      <c r="C15" s="17"/>
      <c r="D15" s="92"/>
      <c r="E15" s="84"/>
      <c r="F15" s="16"/>
      <c r="G15" s="16"/>
      <c r="H15" s="82" t="e">
        <f t="shared" si="0"/>
        <v>#DIV/0!</v>
      </c>
      <c r="I15" s="88">
        <f>1.511+0.37</f>
        <v>1.8809999999999998</v>
      </c>
      <c r="J15" s="89">
        <f>1.511+0.37</f>
        <v>1.8809999999999998</v>
      </c>
      <c r="K15" s="93">
        <f>(1.511*1.105)+0.37</f>
        <v>2.0396549999999998</v>
      </c>
    </row>
    <row r="16" spans="1:11" ht="34.5" customHeight="1" hidden="1">
      <c r="A16" s="16"/>
      <c r="B16" s="17" t="s">
        <v>33</v>
      </c>
      <c r="C16" s="17"/>
      <c r="D16" s="16"/>
      <c r="E16" s="84"/>
      <c r="F16" s="16"/>
      <c r="G16" s="94"/>
      <c r="H16" s="82" t="e">
        <f t="shared" si="0"/>
        <v>#DIV/0!</v>
      </c>
      <c r="I16" s="83"/>
      <c r="J16" s="16"/>
      <c r="K16" s="80"/>
    </row>
    <row r="17" spans="1:11" s="91" customFormat="1" ht="15.75" customHeight="1" hidden="1">
      <c r="A17" s="16" t="s">
        <v>34</v>
      </c>
      <c r="B17" s="95" t="s">
        <v>35</v>
      </c>
      <c r="C17" s="95"/>
      <c r="D17" s="61"/>
      <c r="E17" s="84"/>
      <c r="F17" s="16"/>
      <c r="G17" s="16"/>
      <c r="H17" s="82" t="e">
        <f t="shared" si="0"/>
        <v>#DIV/0!</v>
      </c>
      <c r="I17" s="88"/>
      <c r="J17" s="89"/>
      <c r="K17" s="90"/>
    </row>
    <row r="18" spans="1:11" s="91" customFormat="1" ht="18" customHeight="1" hidden="1">
      <c r="A18" s="16"/>
      <c r="B18" s="17" t="s">
        <v>32</v>
      </c>
      <c r="C18" s="17"/>
      <c r="D18" s="16"/>
      <c r="E18" s="84"/>
      <c r="F18" s="16"/>
      <c r="G18" s="16"/>
      <c r="H18" s="82" t="e">
        <f t="shared" si="0"/>
        <v>#DIV/0!</v>
      </c>
      <c r="I18" s="88"/>
      <c r="J18" s="89"/>
      <c r="K18" s="90"/>
    </row>
    <row r="19" spans="1:11" ht="19.5" customHeight="1" hidden="1">
      <c r="A19" s="16"/>
      <c r="B19" s="17" t="s">
        <v>33</v>
      </c>
      <c r="C19" s="17"/>
      <c r="D19" s="16"/>
      <c r="E19" s="84"/>
      <c r="F19" s="16"/>
      <c r="G19" s="16"/>
      <c r="H19" s="82" t="e">
        <f t="shared" si="0"/>
        <v>#DIV/0!</v>
      </c>
      <c r="I19" s="83"/>
      <c r="J19" s="16"/>
      <c r="K19" s="80"/>
    </row>
    <row r="20" spans="1:11" ht="18.75" customHeight="1" hidden="1">
      <c r="A20" s="16" t="s">
        <v>36</v>
      </c>
      <c r="B20" s="17" t="s">
        <v>37</v>
      </c>
      <c r="C20" s="17"/>
      <c r="D20" s="61"/>
      <c r="E20" s="84"/>
      <c r="F20" s="16"/>
      <c r="G20" s="16"/>
      <c r="H20" s="82" t="e">
        <f t="shared" si="0"/>
        <v>#DIV/0!</v>
      </c>
      <c r="I20" s="83"/>
      <c r="J20" s="16"/>
      <c r="K20" s="80"/>
    </row>
    <row r="21" spans="1:11" ht="18.75" customHeight="1" hidden="1">
      <c r="A21" s="16" t="s">
        <v>38</v>
      </c>
      <c r="B21" s="17" t="s">
        <v>39</v>
      </c>
      <c r="C21" s="17"/>
      <c r="D21" s="61"/>
      <c r="E21" s="84"/>
      <c r="F21" s="16"/>
      <c r="G21" s="61"/>
      <c r="H21" s="82" t="e">
        <f t="shared" si="0"/>
        <v>#DIV/0!</v>
      </c>
      <c r="I21" s="79">
        <f>ROUND(I22*I23,2)</f>
        <v>1902.87</v>
      </c>
      <c r="J21" s="61">
        <f>ROUND(J22*J23,2)</f>
        <v>2853.99</v>
      </c>
      <c r="K21" s="85">
        <f>ROUND(K22*K23,2)</f>
        <v>3024.41</v>
      </c>
    </row>
    <row r="22" spans="1:11" s="91" customFormat="1" ht="18.75" customHeight="1" hidden="1">
      <c r="A22" s="16" t="s">
        <v>40</v>
      </c>
      <c r="B22" s="17" t="s">
        <v>154</v>
      </c>
      <c r="C22" s="17"/>
      <c r="D22" s="61"/>
      <c r="E22" s="61"/>
      <c r="F22" s="61"/>
      <c r="G22" s="16"/>
      <c r="H22" s="82" t="e">
        <f t="shared" si="0"/>
        <v>#DIV/0!</v>
      </c>
      <c r="I22" s="88">
        <v>124.86</v>
      </c>
      <c r="J22" s="89">
        <v>187.27</v>
      </c>
      <c r="K22" s="90">
        <v>187.27</v>
      </c>
    </row>
    <row r="23" spans="1:11" s="91" customFormat="1" ht="16.5" customHeight="1" hidden="1">
      <c r="A23" s="16" t="s">
        <v>41</v>
      </c>
      <c r="B23" s="17" t="s">
        <v>42</v>
      </c>
      <c r="C23" s="17"/>
      <c r="D23" s="16"/>
      <c r="E23" s="84"/>
      <c r="F23" s="16"/>
      <c r="G23" s="16"/>
      <c r="H23" s="82" t="e">
        <f t="shared" si="0"/>
        <v>#DIV/0!</v>
      </c>
      <c r="I23" s="88">
        <v>15.24</v>
      </c>
      <c r="J23" s="89">
        <v>15.24</v>
      </c>
      <c r="K23" s="90">
        <v>16.15</v>
      </c>
    </row>
    <row r="24" spans="1:11" ht="34.5" customHeight="1" hidden="1">
      <c r="A24" s="16" t="s">
        <v>43</v>
      </c>
      <c r="B24" s="17" t="s">
        <v>44</v>
      </c>
      <c r="C24" s="17"/>
      <c r="D24" s="16"/>
      <c r="E24" s="84"/>
      <c r="F24" s="16"/>
      <c r="G24" s="61"/>
      <c r="H24" s="82" t="e">
        <f t="shared" si="0"/>
        <v>#DIV/0!</v>
      </c>
      <c r="I24" s="83"/>
      <c r="J24" s="16"/>
      <c r="K24" s="80"/>
    </row>
    <row r="25" spans="1:11" ht="31.5" hidden="1">
      <c r="A25" s="16" t="s">
        <v>45</v>
      </c>
      <c r="B25" s="17" t="s">
        <v>46</v>
      </c>
      <c r="C25" s="17"/>
      <c r="D25" s="61"/>
      <c r="E25" s="84"/>
      <c r="F25" s="16"/>
      <c r="G25" s="61"/>
      <c r="H25" s="82" t="e">
        <f t="shared" si="0"/>
        <v>#DIV/0!</v>
      </c>
      <c r="I25" s="83" t="e">
        <f>ROUND((#REF!/10*4)/1000,2)</f>
        <v>#REF!</v>
      </c>
      <c r="J25" s="16" t="e">
        <f>ROUND((#REF!/10*6)/1000,2)</f>
        <v>#REF!</v>
      </c>
      <c r="K25" s="80" t="e">
        <f>ROUND((#REF!/1000),2)</f>
        <v>#REF!</v>
      </c>
    </row>
    <row r="26" spans="1:11" s="91" customFormat="1" ht="31.5" hidden="1">
      <c r="A26" s="16" t="s">
        <v>47</v>
      </c>
      <c r="B26" s="17" t="s">
        <v>48</v>
      </c>
      <c r="C26" s="17"/>
      <c r="D26" s="16"/>
      <c r="E26" s="84"/>
      <c r="F26" s="16"/>
      <c r="G26" s="16"/>
      <c r="H26" s="82" t="e">
        <f t="shared" si="0"/>
        <v>#DIV/0!</v>
      </c>
      <c r="I26" s="88">
        <v>2.4</v>
      </c>
      <c r="J26" s="89">
        <v>2.4</v>
      </c>
      <c r="K26" s="90">
        <v>2.4</v>
      </c>
    </row>
    <row r="27" spans="1:11" s="91" customFormat="1" ht="15.75" hidden="1">
      <c r="A27" s="16" t="s">
        <v>49</v>
      </c>
      <c r="B27" s="17" t="s">
        <v>11</v>
      </c>
      <c r="C27" s="17"/>
      <c r="D27" s="16"/>
      <c r="E27" s="84"/>
      <c r="F27" s="16"/>
      <c r="G27" s="16"/>
      <c r="H27" s="82" t="e">
        <f t="shared" si="0"/>
        <v>#DIV/0!</v>
      </c>
      <c r="I27" s="88"/>
      <c r="J27" s="89"/>
      <c r="K27" s="90"/>
    </row>
    <row r="28" spans="1:11" s="91" customFormat="1" ht="15.75" hidden="1">
      <c r="A28" s="16" t="s">
        <v>50</v>
      </c>
      <c r="B28" s="96" t="s">
        <v>12</v>
      </c>
      <c r="C28" s="96"/>
      <c r="D28" s="16"/>
      <c r="E28" s="84"/>
      <c r="F28" s="16"/>
      <c r="G28" s="16"/>
      <c r="H28" s="82" t="e">
        <f t="shared" si="0"/>
        <v>#DIV/0!</v>
      </c>
      <c r="I28" s="88"/>
      <c r="J28" s="89"/>
      <c r="K28" s="90"/>
    </row>
    <row r="29" spans="1:11" s="101" customFormat="1" ht="21" customHeight="1" hidden="1">
      <c r="A29" s="97" t="s">
        <v>51</v>
      </c>
      <c r="B29" s="96" t="s">
        <v>13</v>
      </c>
      <c r="C29" s="96"/>
      <c r="D29" s="16"/>
      <c r="E29" s="84"/>
      <c r="F29" s="16"/>
      <c r="G29" s="97"/>
      <c r="H29" s="82" t="e">
        <f t="shared" si="0"/>
        <v>#DIV/0!</v>
      </c>
      <c r="I29" s="98" t="e">
        <f>ROUND(I25/I26/4*1000,2)</f>
        <v>#REF!</v>
      </c>
      <c r="J29" s="99" t="e">
        <f>ROUND(J25/J26/6*1000,2)</f>
        <v>#REF!</v>
      </c>
      <c r="K29" s="100" t="e">
        <f>ROUND(K25/K26/6*1000,2)</f>
        <v>#REF!</v>
      </c>
    </row>
    <row r="30" spans="1:11" ht="21.75" customHeight="1" hidden="1">
      <c r="A30" s="16" t="s">
        <v>52</v>
      </c>
      <c r="B30" s="102" t="s">
        <v>53</v>
      </c>
      <c r="C30" s="102"/>
      <c r="D30" s="97"/>
      <c r="E30" s="97"/>
      <c r="F30" s="97"/>
      <c r="G30" s="16"/>
      <c r="H30" s="82" t="e">
        <f t="shared" si="0"/>
        <v>#DIV/0!</v>
      </c>
      <c r="I30" s="83" t="e">
        <f>ROUND(I25*0.305,2)</f>
        <v>#REF!</v>
      </c>
      <c r="J30" s="16" t="e">
        <f>ROUND(J25*0.305,2)</f>
        <v>#REF!</v>
      </c>
      <c r="K30" s="80" t="e">
        <f>ROUND(K25*0.305,2)</f>
        <v>#REF!</v>
      </c>
    </row>
    <row r="31" spans="1:11" ht="21.75" customHeight="1" hidden="1">
      <c r="A31" s="16" t="s">
        <v>54</v>
      </c>
      <c r="B31" s="96" t="s">
        <v>55</v>
      </c>
      <c r="C31" s="96"/>
      <c r="D31" s="16"/>
      <c r="E31" s="16"/>
      <c r="F31" s="16"/>
      <c r="G31" s="16"/>
      <c r="H31" s="82" t="e">
        <f t="shared" si="0"/>
        <v>#DIV/0!</v>
      </c>
      <c r="I31" s="83">
        <v>30.5</v>
      </c>
      <c r="J31" s="16">
        <v>30.5</v>
      </c>
      <c r="K31" s="80">
        <v>30.5</v>
      </c>
    </row>
    <row r="32" spans="1:11" ht="29.25" customHeight="1" hidden="1">
      <c r="A32" s="16" t="s">
        <v>56</v>
      </c>
      <c r="B32" s="96" t="s">
        <v>57</v>
      </c>
      <c r="C32" s="96"/>
      <c r="D32" s="16"/>
      <c r="E32" s="16"/>
      <c r="F32" s="16"/>
      <c r="G32" s="61"/>
      <c r="H32" s="82" t="e">
        <f t="shared" si="0"/>
        <v>#DIV/0!</v>
      </c>
      <c r="I32" s="83"/>
      <c r="J32" s="16"/>
      <c r="K32" s="80"/>
    </row>
    <row r="33" spans="1:11" ht="53.25" customHeight="1" hidden="1">
      <c r="A33" s="16" t="s">
        <v>58</v>
      </c>
      <c r="B33" s="17" t="s">
        <v>59</v>
      </c>
      <c r="C33" s="17"/>
      <c r="D33" s="61"/>
      <c r="E33" s="86"/>
      <c r="F33" s="61"/>
      <c r="G33" s="61"/>
      <c r="H33" s="82" t="e">
        <f t="shared" si="0"/>
        <v>#DIV/0!</v>
      </c>
      <c r="I33" s="79" t="e">
        <f>I34+I38+I39+I40</f>
        <v>#REF!</v>
      </c>
      <c r="J33" s="61" t="e">
        <f>J34+J38+J39+J40</f>
        <v>#REF!</v>
      </c>
      <c r="K33" s="85" t="e">
        <f>K34+K38+K39+K40</f>
        <v>#REF!</v>
      </c>
    </row>
    <row r="34" spans="1:11" ht="36" customHeight="1" hidden="1">
      <c r="A34" s="16" t="s">
        <v>60</v>
      </c>
      <c r="B34" s="17" t="s">
        <v>61</v>
      </c>
      <c r="C34" s="17"/>
      <c r="D34" s="61"/>
      <c r="E34" s="61"/>
      <c r="F34" s="61"/>
      <c r="G34" s="61"/>
      <c r="H34" s="82" t="e">
        <f t="shared" si="0"/>
        <v>#DIV/0!</v>
      </c>
      <c r="I34" s="83" t="e">
        <f>ROUND((#REF!/10*4)/1000,2)</f>
        <v>#REF!</v>
      </c>
      <c r="J34" s="16" t="e">
        <f>ROUND((#REF!/10*6)/1000,2)</f>
        <v>#REF!</v>
      </c>
      <c r="K34" s="80" t="e">
        <f>ROUND(#REF!/1000,2)</f>
        <v>#REF!</v>
      </c>
    </row>
    <row r="35" spans="1:11" ht="34.5" customHeight="1" hidden="1">
      <c r="A35" s="16" t="s">
        <v>62</v>
      </c>
      <c r="B35" s="17" t="s">
        <v>63</v>
      </c>
      <c r="C35" s="17"/>
      <c r="D35" s="61"/>
      <c r="E35" s="86"/>
      <c r="F35" s="61"/>
      <c r="G35" s="61"/>
      <c r="H35" s="82" t="e">
        <f t="shared" si="0"/>
        <v>#DIV/0!</v>
      </c>
      <c r="I35" s="83">
        <v>0.5</v>
      </c>
      <c r="J35" s="16">
        <v>0.5</v>
      </c>
      <c r="K35" s="80">
        <v>0.5</v>
      </c>
    </row>
    <row r="36" spans="1:11" ht="17.25" customHeight="1" hidden="1">
      <c r="A36" s="16"/>
      <c r="B36" s="17" t="s">
        <v>11</v>
      </c>
      <c r="C36" s="17"/>
      <c r="D36" s="61"/>
      <c r="E36" s="86"/>
      <c r="F36" s="61"/>
      <c r="G36" s="16"/>
      <c r="H36" s="82" t="e">
        <f t="shared" si="0"/>
        <v>#DIV/0!</v>
      </c>
      <c r="I36" s="83"/>
      <c r="J36" s="16"/>
      <c r="K36" s="80"/>
    </row>
    <row r="37" spans="1:11" s="105" customFormat="1" ht="18" customHeight="1" hidden="1">
      <c r="A37" s="97"/>
      <c r="B37" s="96" t="s">
        <v>13</v>
      </c>
      <c r="C37" s="96"/>
      <c r="D37" s="16"/>
      <c r="E37" s="84"/>
      <c r="F37" s="16"/>
      <c r="G37" s="92"/>
      <c r="H37" s="82" t="e">
        <f t="shared" si="0"/>
        <v>#DIV/0!</v>
      </c>
      <c r="I37" s="103" t="e">
        <f>I34/I35/4*1000</f>
        <v>#REF!</v>
      </c>
      <c r="J37" s="92" t="e">
        <f>J34/J35/6*1000</f>
        <v>#REF!</v>
      </c>
      <c r="K37" s="104" t="e">
        <f>K34/K35/6*1000</f>
        <v>#REF!</v>
      </c>
    </row>
    <row r="38" spans="1:11" ht="23.25" customHeight="1" hidden="1">
      <c r="A38" s="16"/>
      <c r="B38" s="102" t="s">
        <v>53</v>
      </c>
      <c r="C38" s="102"/>
      <c r="D38" s="92"/>
      <c r="E38" s="92"/>
      <c r="F38" s="92"/>
      <c r="G38" s="61"/>
      <c r="H38" s="82" t="e">
        <f t="shared" si="0"/>
        <v>#DIV/0!</v>
      </c>
      <c r="I38" s="79" t="e">
        <f>ROUND(I34*0.305,2)</f>
        <v>#REF!</v>
      </c>
      <c r="J38" s="61" t="e">
        <f>ROUND(J34*0.305,2)</f>
        <v>#REF!</v>
      </c>
      <c r="K38" s="85" t="e">
        <f>ROUND(K34*0.305,2)</f>
        <v>#REF!</v>
      </c>
    </row>
    <row r="39" spans="1:11" ht="18.75" customHeight="1" hidden="1">
      <c r="A39" s="16" t="s">
        <v>64</v>
      </c>
      <c r="B39" s="96" t="s">
        <v>55</v>
      </c>
      <c r="C39" s="96"/>
      <c r="D39" s="61"/>
      <c r="E39" s="61"/>
      <c r="F39" s="61"/>
      <c r="G39" s="16"/>
      <c r="H39" s="82" t="e">
        <f t="shared" si="0"/>
        <v>#DIV/0!</v>
      </c>
      <c r="I39" s="83"/>
      <c r="J39" s="16"/>
      <c r="K39" s="80"/>
    </row>
    <row r="40" spans="1:11" ht="18.75" customHeight="1" hidden="1">
      <c r="A40" s="16" t="s">
        <v>65</v>
      </c>
      <c r="B40" s="96" t="s">
        <v>66</v>
      </c>
      <c r="C40" s="96"/>
      <c r="D40" s="61"/>
      <c r="E40" s="86"/>
      <c r="F40" s="61"/>
      <c r="G40" s="61"/>
      <c r="H40" s="82" t="e">
        <f t="shared" si="0"/>
        <v>#DIV/0!</v>
      </c>
      <c r="I40" s="83"/>
      <c r="J40" s="16"/>
      <c r="K40" s="80"/>
    </row>
    <row r="41" spans="1:11" ht="52.5" customHeight="1" hidden="1">
      <c r="A41" s="16" t="s">
        <v>67</v>
      </c>
      <c r="B41" s="96" t="s">
        <v>68</v>
      </c>
      <c r="C41" s="96"/>
      <c r="D41" s="61"/>
      <c r="E41" s="86"/>
      <c r="F41" s="61"/>
      <c r="G41" s="61"/>
      <c r="H41" s="82" t="e">
        <f t="shared" si="0"/>
        <v>#DIV/0!</v>
      </c>
      <c r="I41" s="83"/>
      <c r="J41" s="16"/>
      <c r="K41" s="80"/>
    </row>
    <row r="42" spans="1:11" ht="29.25" customHeight="1" hidden="1">
      <c r="A42" s="16" t="s">
        <v>69</v>
      </c>
      <c r="B42" s="17" t="s">
        <v>70</v>
      </c>
      <c r="C42" s="17"/>
      <c r="D42" s="61"/>
      <c r="E42" s="86"/>
      <c r="F42" s="61"/>
      <c r="G42" s="61"/>
      <c r="H42" s="82" t="e">
        <f t="shared" si="0"/>
        <v>#DIV/0!</v>
      </c>
      <c r="I42" s="83" t="e">
        <f>I43++I48+I49+I53</f>
        <v>#REF!</v>
      </c>
      <c r="J42" s="16" t="e">
        <f>J43++J48+J49+J53</f>
        <v>#REF!</v>
      </c>
      <c r="K42" s="80" t="e">
        <f>K43++K48+K49+K53</f>
        <v>#REF!</v>
      </c>
    </row>
    <row r="43" spans="1:11" ht="15.75">
      <c r="A43" s="16" t="s">
        <v>71</v>
      </c>
      <c r="B43" s="96" t="s">
        <v>72</v>
      </c>
      <c r="C43" s="96"/>
      <c r="D43" s="16"/>
      <c r="E43" s="16"/>
      <c r="F43" s="16"/>
      <c r="G43" s="61"/>
      <c r="H43" s="82" t="e">
        <f t="shared" si="0"/>
        <v>#DIV/0!</v>
      </c>
      <c r="I43" s="83">
        <f>I44+I45+I46+I47</f>
        <v>0</v>
      </c>
      <c r="J43" s="16">
        <f>J44+J45+J46+J47</f>
        <v>0</v>
      </c>
      <c r="K43" s="80">
        <f>K44+K45+K46+K47</f>
        <v>0</v>
      </c>
    </row>
    <row r="44" spans="1:11" ht="31.5" hidden="1">
      <c r="A44" s="16" t="s">
        <v>73</v>
      </c>
      <c r="B44" s="17" t="s">
        <v>74</v>
      </c>
      <c r="C44" s="17"/>
      <c r="D44" s="61"/>
      <c r="E44" s="61"/>
      <c r="F44" s="61"/>
      <c r="G44" s="61"/>
      <c r="H44" s="82" t="e">
        <f t="shared" si="0"/>
        <v>#DIV/0!</v>
      </c>
      <c r="I44" s="83">
        <f>75.82-75.82</f>
        <v>0</v>
      </c>
      <c r="J44" s="16">
        <f>113.73-113.73</f>
        <v>0</v>
      </c>
      <c r="K44" s="80">
        <v>0</v>
      </c>
    </row>
    <row r="45" spans="1:11" ht="47.25" hidden="1">
      <c r="A45" s="16" t="s">
        <v>75</v>
      </c>
      <c r="B45" s="95" t="s">
        <v>76</v>
      </c>
      <c r="C45" s="95"/>
      <c r="D45" s="61"/>
      <c r="E45" s="86"/>
      <c r="F45" s="61"/>
      <c r="G45" s="61"/>
      <c r="H45" s="82" t="e">
        <f t="shared" si="0"/>
        <v>#DIV/0!</v>
      </c>
      <c r="I45" s="83"/>
      <c r="J45" s="16"/>
      <c r="K45" s="80"/>
    </row>
    <row r="46" spans="1:11" ht="31.5" hidden="1">
      <c r="A46" s="16" t="s">
        <v>77</v>
      </c>
      <c r="B46" s="95" t="s">
        <v>78</v>
      </c>
      <c r="C46" s="95"/>
      <c r="D46" s="61"/>
      <c r="E46" s="86"/>
      <c r="F46" s="61"/>
      <c r="G46" s="61"/>
      <c r="H46" s="82" t="e">
        <f t="shared" si="0"/>
        <v>#DIV/0!</v>
      </c>
      <c r="I46" s="83"/>
      <c r="J46" s="16"/>
      <c r="K46" s="80"/>
    </row>
    <row r="47" spans="1:11" ht="31.5" hidden="1">
      <c r="A47" s="16" t="s">
        <v>79</v>
      </c>
      <c r="B47" s="17" t="s">
        <v>80</v>
      </c>
      <c r="C47" s="17"/>
      <c r="D47" s="61"/>
      <c r="E47" s="86"/>
      <c r="F47" s="61"/>
      <c r="G47" s="61"/>
      <c r="H47" s="82" t="e">
        <f t="shared" si="0"/>
        <v>#DIV/0!</v>
      </c>
      <c r="I47" s="83"/>
      <c r="J47" s="16"/>
      <c r="K47" s="80"/>
    </row>
    <row r="48" spans="1:11" ht="31.5" hidden="1">
      <c r="A48" s="16" t="s">
        <v>81</v>
      </c>
      <c r="B48" s="17" t="s">
        <v>82</v>
      </c>
      <c r="C48" s="17"/>
      <c r="D48" s="61"/>
      <c r="E48" s="86"/>
      <c r="F48" s="61"/>
      <c r="G48" s="61"/>
      <c r="H48" s="82" t="e">
        <f t="shared" si="0"/>
        <v>#DIV/0!</v>
      </c>
      <c r="I48" s="83"/>
      <c r="J48" s="16"/>
      <c r="K48" s="80"/>
    </row>
    <row r="49" spans="1:11" ht="15.75" hidden="1">
      <c r="A49" s="16" t="s">
        <v>83</v>
      </c>
      <c r="B49" s="17" t="s">
        <v>84</v>
      </c>
      <c r="C49" s="17"/>
      <c r="D49" s="61"/>
      <c r="E49" s="86"/>
      <c r="F49" s="61"/>
      <c r="G49" s="61"/>
      <c r="H49" s="82" t="e">
        <f t="shared" si="0"/>
        <v>#DIV/0!</v>
      </c>
      <c r="I49" s="83" t="e">
        <f>ROUND((#REF!/10*4/1000),2)</f>
        <v>#REF!</v>
      </c>
      <c r="J49" s="16" t="e">
        <f>ROUND((#REF!/10*6)/1000,2)</f>
        <v>#REF!</v>
      </c>
      <c r="K49" s="80" t="e">
        <f>ROUND(#REF!/1000,2)</f>
        <v>#REF!</v>
      </c>
    </row>
    <row r="50" spans="1:11" s="91" customFormat="1" ht="34.5" customHeight="1" hidden="1">
      <c r="A50" s="16" t="s">
        <v>85</v>
      </c>
      <c r="B50" s="96" t="s">
        <v>86</v>
      </c>
      <c r="C50" s="96"/>
      <c r="D50" s="16"/>
      <c r="E50" s="84"/>
      <c r="F50" s="16"/>
      <c r="G50" s="16"/>
      <c r="H50" s="82" t="e">
        <f t="shared" si="0"/>
        <v>#DIV/0!</v>
      </c>
      <c r="I50" s="88">
        <v>4.3</v>
      </c>
      <c r="J50" s="89">
        <v>4.3</v>
      </c>
      <c r="K50" s="90">
        <v>4.3</v>
      </c>
    </row>
    <row r="51" spans="1:11" s="91" customFormat="1" ht="21" customHeight="1" hidden="1">
      <c r="A51" s="16" t="s">
        <v>87</v>
      </c>
      <c r="B51" s="96" t="s">
        <v>14</v>
      </c>
      <c r="C51" s="96"/>
      <c r="D51" s="16"/>
      <c r="E51" s="16"/>
      <c r="F51" s="16"/>
      <c r="G51" s="16"/>
      <c r="H51" s="82" t="e">
        <f t="shared" si="0"/>
        <v>#DIV/0!</v>
      </c>
      <c r="I51" s="88"/>
      <c r="J51" s="89"/>
      <c r="K51" s="90"/>
    </row>
    <row r="52" spans="1:11" s="101" customFormat="1" ht="15.75" hidden="1">
      <c r="A52" s="97" t="s">
        <v>88</v>
      </c>
      <c r="B52" s="96" t="s">
        <v>13</v>
      </c>
      <c r="C52" s="96"/>
      <c r="D52" s="16"/>
      <c r="E52" s="84"/>
      <c r="F52" s="16"/>
      <c r="G52" s="92"/>
      <c r="H52" s="82" t="e">
        <f t="shared" si="0"/>
        <v>#DIV/0!</v>
      </c>
      <c r="I52" s="106" t="e">
        <f>I49/I50/4*1000</f>
        <v>#REF!</v>
      </c>
      <c r="J52" s="107" t="e">
        <f>J49/J50/6*1000</f>
        <v>#REF!</v>
      </c>
      <c r="K52" s="108" t="e">
        <f>K49/K50/6*1000</f>
        <v>#REF!</v>
      </c>
    </row>
    <row r="53" spans="1:11" ht="24.75" customHeight="1" hidden="1">
      <c r="A53" s="109" t="s">
        <v>89</v>
      </c>
      <c r="B53" s="102" t="s">
        <v>53</v>
      </c>
      <c r="C53" s="102"/>
      <c r="D53" s="92"/>
      <c r="E53" s="92"/>
      <c r="F53" s="92"/>
      <c r="G53" s="61"/>
      <c r="H53" s="82" t="e">
        <f t="shared" si="0"/>
        <v>#DIV/0!</v>
      </c>
      <c r="I53" s="83" t="e">
        <f>ROUND(I49*0.305,2)</f>
        <v>#REF!</v>
      </c>
      <c r="J53" s="16" t="e">
        <f>ROUND(J49*0.305,2)</f>
        <v>#REF!</v>
      </c>
      <c r="K53" s="80" t="e">
        <f>ROUND(K49*0.305,2)</f>
        <v>#REF!</v>
      </c>
    </row>
    <row r="54" spans="1:11" ht="28.5" customHeight="1" hidden="1">
      <c r="A54" s="109" t="s">
        <v>90</v>
      </c>
      <c r="B54" s="96" t="s">
        <v>55</v>
      </c>
      <c r="C54" s="96"/>
      <c r="D54" s="16"/>
      <c r="E54" s="16"/>
      <c r="F54" s="16"/>
      <c r="G54" s="16"/>
      <c r="H54" s="82" t="e">
        <f t="shared" si="0"/>
        <v>#DIV/0!</v>
      </c>
      <c r="I54" s="83">
        <f>I55+I56+I58+I59+I60+I61+I62+I63+I64+I65+I66+I67</f>
        <v>-48.02</v>
      </c>
      <c r="J54" s="16">
        <f>J55+J56+J58+J59+J60+J61+J62+J63+J64+J65+J66+J67</f>
        <v>0</v>
      </c>
      <c r="K54" s="80">
        <f>K55+K56+K58+K59+K60+K61+K62+K63+K64+K65+K66+K67</f>
        <v>0</v>
      </c>
    </row>
    <row r="55" spans="1:11" ht="31.5">
      <c r="A55" s="16" t="s">
        <v>91</v>
      </c>
      <c r="B55" s="17" t="s">
        <v>92</v>
      </c>
      <c r="C55" s="17"/>
      <c r="D55" s="16"/>
      <c r="E55" s="16"/>
      <c r="F55" s="16"/>
      <c r="G55" s="61"/>
      <c r="H55" s="82" t="e">
        <f t="shared" si="0"/>
        <v>#DIV/0!</v>
      </c>
      <c r="I55" s="83"/>
      <c r="J55" s="16"/>
      <c r="K55" s="80"/>
    </row>
    <row r="56" spans="1:11" ht="31.5" hidden="1">
      <c r="A56" s="16" t="s">
        <v>8</v>
      </c>
      <c r="B56" s="17" t="s">
        <v>93</v>
      </c>
      <c r="C56" s="17"/>
      <c r="D56" s="16"/>
      <c r="E56" s="84"/>
      <c r="F56" s="16"/>
      <c r="G56" s="61"/>
      <c r="H56" s="82" t="e">
        <f t="shared" si="0"/>
        <v>#DIV/0!</v>
      </c>
      <c r="I56" s="83"/>
      <c r="J56" s="16"/>
      <c r="K56" s="80"/>
    </row>
    <row r="57" spans="1:11" s="91" customFormat="1" ht="31.5" hidden="1">
      <c r="A57" s="16" t="s">
        <v>9</v>
      </c>
      <c r="B57" s="17" t="s">
        <v>94</v>
      </c>
      <c r="C57" s="17"/>
      <c r="D57" s="16"/>
      <c r="E57" s="84"/>
      <c r="F57" s="16"/>
      <c r="G57" s="61"/>
      <c r="H57" s="82" t="e">
        <f t="shared" si="0"/>
        <v>#DIV/0!</v>
      </c>
      <c r="I57" s="88"/>
      <c r="J57" s="89"/>
      <c r="K57" s="90"/>
    </row>
    <row r="58" spans="1:11" ht="15.75" hidden="1">
      <c r="A58" s="16" t="s">
        <v>95</v>
      </c>
      <c r="B58" s="17" t="s">
        <v>19</v>
      </c>
      <c r="C58" s="17"/>
      <c r="D58" s="16"/>
      <c r="E58" s="84"/>
      <c r="F58" s="16"/>
      <c r="G58" s="61"/>
      <c r="H58" s="82" t="e">
        <f t="shared" si="0"/>
        <v>#DIV/0!</v>
      </c>
      <c r="I58" s="83"/>
      <c r="J58" s="16"/>
      <c r="K58" s="80"/>
    </row>
    <row r="59" spans="1:11" ht="15.75" hidden="1">
      <c r="A59" s="16" t="s">
        <v>15</v>
      </c>
      <c r="B59" s="96" t="s">
        <v>55</v>
      </c>
      <c r="C59" s="96"/>
      <c r="D59" s="16"/>
      <c r="E59" s="84"/>
      <c r="F59" s="16"/>
      <c r="G59" s="61"/>
      <c r="H59" s="82" t="e">
        <f t="shared" si="0"/>
        <v>#DIV/0!</v>
      </c>
      <c r="I59" s="83"/>
      <c r="J59" s="16"/>
      <c r="K59" s="80"/>
    </row>
    <row r="60" spans="1:11" ht="31.5" hidden="1">
      <c r="A60" s="16" t="s">
        <v>96</v>
      </c>
      <c r="B60" s="96" t="s">
        <v>97</v>
      </c>
      <c r="C60" s="96"/>
      <c r="D60" s="16"/>
      <c r="E60" s="84"/>
      <c r="F60" s="16"/>
      <c r="G60" s="61"/>
      <c r="H60" s="82" t="e">
        <f t="shared" si="0"/>
        <v>#DIV/0!</v>
      </c>
      <c r="I60" s="83"/>
      <c r="J60" s="16"/>
      <c r="K60" s="80"/>
    </row>
    <row r="61" spans="1:11" ht="21" customHeight="1" hidden="1">
      <c r="A61" s="16" t="s">
        <v>98</v>
      </c>
      <c r="B61" s="96" t="s">
        <v>99</v>
      </c>
      <c r="C61" s="96"/>
      <c r="D61" s="16"/>
      <c r="E61" s="84"/>
      <c r="F61" s="16"/>
      <c r="G61" s="61"/>
      <c r="H61" s="82" t="e">
        <f t="shared" si="0"/>
        <v>#DIV/0!</v>
      </c>
      <c r="I61" s="83">
        <f>ROUND(D62/16*4,2)-48.02</f>
        <v>-48.02</v>
      </c>
      <c r="J61" s="16">
        <f>72.03-72.03</f>
        <v>0</v>
      </c>
      <c r="K61" s="80"/>
    </row>
    <row r="62" spans="1:11" ht="18.75" customHeight="1" hidden="1">
      <c r="A62" s="16" t="s">
        <v>8</v>
      </c>
      <c r="B62" s="96" t="s">
        <v>100</v>
      </c>
      <c r="C62" s="96"/>
      <c r="D62" s="16"/>
      <c r="E62" s="84"/>
      <c r="F62" s="16"/>
      <c r="G62" s="61"/>
      <c r="H62" s="82" t="e">
        <f t="shared" si="0"/>
        <v>#DIV/0!</v>
      </c>
      <c r="I62" s="83"/>
      <c r="J62" s="16"/>
      <c r="K62" s="80"/>
    </row>
    <row r="63" spans="1:11" ht="32.25" customHeight="1" hidden="1">
      <c r="A63" s="16" t="s">
        <v>101</v>
      </c>
      <c r="B63" s="96" t="s">
        <v>102</v>
      </c>
      <c r="C63" s="96"/>
      <c r="D63" s="16"/>
      <c r="E63" s="84"/>
      <c r="F63" s="16"/>
      <c r="G63" s="61"/>
      <c r="H63" s="82" t="e">
        <f t="shared" si="0"/>
        <v>#DIV/0!</v>
      </c>
      <c r="I63" s="83"/>
      <c r="J63" s="16"/>
      <c r="K63" s="80"/>
    </row>
    <row r="64" spans="1:11" ht="32.25" customHeight="1" hidden="1">
      <c r="A64" s="16" t="s">
        <v>103</v>
      </c>
      <c r="B64" s="96" t="s">
        <v>104</v>
      </c>
      <c r="C64" s="96"/>
      <c r="D64" s="16"/>
      <c r="E64" s="84"/>
      <c r="F64" s="16"/>
      <c r="G64" s="61"/>
      <c r="H64" s="82" t="e">
        <f t="shared" si="0"/>
        <v>#DIV/0!</v>
      </c>
      <c r="I64" s="83"/>
      <c r="J64" s="16"/>
      <c r="K64" s="80"/>
    </row>
    <row r="65" spans="1:11" ht="32.25" customHeight="1" hidden="1">
      <c r="A65" s="16" t="s">
        <v>105</v>
      </c>
      <c r="B65" s="96" t="s">
        <v>106</v>
      </c>
      <c r="C65" s="96"/>
      <c r="D65" s="16"/>
      <c r="E65" s="84"/>
      <c r="F65" s="16"/>
      <c r="G65" s="61"/>
      <c r="H65" s="82" t="e">
        <f t="shared" si="0"/>
        <v>#DIV/0!</v>
      </c>
      <c r="I65" s="83"/>
      <c r="J65" s="16"/>
      <c r="K65" s="80"/>
    </row>
    <row r="66" spans="1:11" ht="32.25" customHeight="1" hidden="1">
      <c r="A66" s="16" t="s">
        <v>107</v>
      </c>
      <c r="B66" s="96" t="s">
        <v>108</v>
      </c>
      <c r="C66" s="96"/>
      <c r="D66" s="16"/>
      <c r="E66" s="84"/>
      <c r="F66" s="16"/>
      <c r="G66" s="61"/>
      <c r="H66" s="82" t="e">
        <f t="shared" si="0"/>
        <v>#DIV/0!</v>
      </c>
      <c r="I66" s="83"/>
      <c r="J66" s="16"/>
      <c r="K66" s="80"/>
    </row>
    <row r="67" spans="1:11" ht="35.25" customHeight="1" hidden="1">
      <c r="A67" s="16" t="s">
        <v>109</v>
      </c>
      <c r="B67" s="96" t="s">
        <v>110</v>
      </c>
      <c r="C67" s="96"/>
      <c r="D67" s="16"/>
      <c r="E67" s="84"/>
      <c r="F67" s="16"/>
      <c r="G67" s="61"/>
      <c r="H67" s="82" t="e">
        <f t="shared" si="0"/>
        <v>#DIV/0!</v>
      </c>
      <c r="I67" s="83">
        <v>0</v>
      </c>
      <c r="J67" s="16">
        <v>0</v>
      </c>
      <c r="K67" s="80">
        <v>0</v>
      </c>
    </row>
    <row r="68" spans="1:11" ht="46.5" customHeight="1" hidden="1">
      <c r="A68" s="16" t="s">
        <v>9</v>
      </c>
      <c r="B68" s="17" t="s">
        <v>111</v>
      </c>
      <c r="C68" s="17"/>
      <c r="D68" s="61"/>
      <c r="E68" s="84"/>
      <c r="F68" s="16"/>
      <c r="G68" s="61"/>
      <c r="H68" s="82" t="e">
        <f t="shared" si="0"/>
        <v>#DIV/0!</v>
      </c>
      <c r="I68" s="83"/>
      <c r="J68" s="16"/>
      <c r="K68" s="80"/>
    </row>
    <row r="69" spans="1:11" ht="31.5">
      <c r="A69" s="16" t="s">
        <v>112</v>
      </c>
      <c r="B69" s="17" t="s">
        <v>113</v>
      </c>
      <c r="C69" s="17"/>
      <c r="D69" s="61"/>
      <c r="E69" s="84"/>
      <c r="F69" s="16"/>
      <c r="G69" s="61"/>
      <c r="H69" s="82" t="e">
        <f t="shared" si="0"/>
        <v>#DIV/0!</v>
      </c>
      <c r="I69" s="83"/>
      <c r="J69" s="16"/>
      <c r="K69" s="80"/>
    </row>
    <row r="70" spans="1:11" ht="31.5" hidden="1">
      <c r="A70" s="16" t="s">
        <v>10</v>
      </c>
      <c r="B70" s="17" t="s">
        <v>114</v>
      </c>
      <c r="C70" s="17"/>
      <c r="D70" s="16"/>
      <c r="E70" s="84"/>
      <c r="F70" s="16"/>
      <c r="G70" s="61"/>
      <c r="H70" s="82" t="e">
        <f t="shared" si="0"/>
        <v>#DIV/0!</v>
      </c>
      <c r="I70" s="83"/>
      <c r="J70" s="16"/>
      <c r="K70" s="80"/>
    </row>
    <row r="71" spans="1:11" s="91" customFormat="1" ht="15.75" hidden="1">
      <c r="A71" s="16" t="s">
        <v>115</v>
      </c>
      <c r="B71" s="17" t="s">
        <v>116</v>
      </c>
      <c r="C71" s="17"/>
      <c r="D71" s="16"/>
      <c r="E71" s="84"/>
      <c r="F71" s="16"/>
      <c r="G71" s="61"/>
      <c r="H71" s="82" t="e">
        <f t="shared" si="0"/>
        <v>#DIV/0!</v>
      </c>
      <c r="I71" s="88"/>
      <c r="J71" s="89"/>
      <c r="K71" s="90"/>
    </row>
    <row r="72" spans="1:11" ht="15.75" hidden="1">
      <c r="A72" s="16" t="s">
        <v>117</v>
      </c>
      <c r="B72" s="17" t="s">
        <v>19</v>
      </c>
      <c r="C72" s="17"/>
      <c r="D72" s="16"/>
      <c r="E72" s="84"/>
      <c r="F72" s="16"/>
      <c r="G72" s="61"/>
      <c r="H72" s="82" t="e">
        <f t="shared" si="0"/>
        <v>#DIV/0!</v>
      </c>
      <c r="I72" s="83"/>
      <c r="J72" s="16"/>
      <c r="K72" s="80"/>
    </row>
    <row r="73" spans="1:11" ht="30" customHeight="1" hidden="1">
      <c r="A73" s="16" t="s">
        <v>118</v>
      </c>
      <c r="B73" s="96" t="s">
        <v>55</v>
      </c>
      <c r="C73" s="96"/>
      <c r="D73" s="16"/>
      <c r="E73" s="84"/>
      <c r="F73" s="16"/>
      <c r="G73" s="61"/>
      <c r="H73" s="82" t="e">
        <f t="shared" si="0"/>
        <v>#DIV/0!</v>
      </c>
      <c r="I73" s="83"/>
      <c r="J73" s="16"/>
      <c r="K73" s="80"/>
    </row>
    <row r="74" spans="1:11" ht="21.75" customHeight="1" hidden="1">
      <c r="A74" s="16" t="s">
        <v>119</v>
      </c>
      <c r="B74" s="96" t="s">
        <v>120</v>
      </c>
      <c r="C74" s="96"/>
      <c r="D74" s="16"/>
      <c r="E74" s="84"/>
      <c r="F74" s="16"/>
      <c r="G74" s="61"/>
      <c r="H74" s="82" t="e">
        <f t="shared" si="0"/>
        <v>#DIV/0!</v>
      </c>
      <c r="I74" s="83">
        <f>ROUND(D75/16*4,2)-64.54</f>
        <v>-64.54</v>
      </c>
      <c r="J74" s="16">
        <f>96.81-96.81</f>
        <v>0</v>
      </c>
      <c r="K74" s="80">
        <v>0</v>
      </c>
    </row>
    <row r="75" spans="1:11" ht="36" customHeight="1">
      <c r="A75" s="16" t="s">
        <v>121</v>
      </c>
      <c r="B75" s="17" t="s">
        <v>122</v>
      </c>
      <c r="C75" s="17"/>
      <c r="D75" s="16"/>
      <c r="E75" s="84"/>
      <c r="F75" s="16"/>
      <c r="G75" s="61"/>
      <c r="H75" s="82" t="e">
        <f aca="true" t="shared" si="1" ref="H75:H93">G75/D75</f>
        <v>#DIV/0!</v>
      </c>
      <c r="I75" s="83"/>
      <c r="J75" s="16"/>
      <c r="K75" s="80"/>
    </row>
    <row r="76" spans="1:11" ht="31.5">
      <c r="A76" s="16" t="s">
        <v>123</v>
      </c>
      <c r="B76" s="17" t="s">
        <v>124</v>
      </c>
      <c r="C76" s="17"/>
      <c r="D76" s="61"/>
      <c r="E76" s="84"/>
      <c r="F76" s="16"/>
      <c r="G76" s="61"/>
      <c r="H76" s="82" t="e">
        <f t="shared" si="1"/>
        <v>#DIV/0!</v>
      </c>
      <c r="I76" s="83"/>
      <c r="J76" s="16"/>
      <c r="K76" s="80"/>
    </row>
    <row r="77" spans="1:11" ht="15.75" hidden="1">
      <c r="A77" s="16" t="s">
        <v>1</v>
      </c>
      <c r="B77" s="17" t="s">
        <v>125</v>
      </c>
      <c r="C77" s="17"/>
      <c r="D77" s="16"/>
      <c r="E77" s="84"/>
      <c r="F77" s="16"/>
      <c r="G77" s="61"/>
      <c r="H77" s="82" t="e">
        <f t="shared" si="1"/>
        <v>#DIV/0!</v>
      </c>
      <c r="I77" s="83"/>
      <c r="J77" s="16"/>
      <c r="K77" s="80"/>
    </row>
    <row r="78" spans="1:11" ht="15.75" hidden="1">
      <c r="A78" s="16" t="s">
        <v>2</v>
      </c>
      <c r="B78" s="17" t="s">
        <v>126</v>
      </c>
      <c r="C78" s="17"/>
      <c r="D78" s="16"/>
      <c r="E78" s="84"/>
      <c r="F78" s="16"/>
      <c r="G78" s="61"/>
      <c r="H78" s="82" t="e">
        <f t="shared" si="1"/>
        <v>#DIV/0!</v>
      </c>
      <c r="I78" s="83"/>
      <c r="J78" s="16"/>
      <c r="K78" s="80"/>
    </row>
    <row r="79" spans="1:11" ht="34.5" customHeight="1" hidden="1">
      <c r="A79" s="16" t="s">
        <v>3</v>
      </c>
      <c r="B79" s="95" t="s">
        <v>127</v>
      </c>
      <c r="C79" s="95"/>
      <c r="D79" s="16"/>
      <c r="E79" s="84"/>
      <c r="F79" s="16"/>
      <c r="G79" s="61"/>
      <c r="H79" s="82" t="e">
        <f t="shared" si="1"/>
        <v>#DIV/0!</v>
      </c>
      <c r="I79" s="83">
        <f>I80+I81+I82</f>
        <v>-32.91</v>
      </c>
      <c r="J79" s="16">
        <f>J80+J81+J82</f>
        <v>0</v>
      </c>
      <c r="K79" s="80">
        <f>K80+K81+K82</f>
        <v>0</v>
      </c>
    </row>
    <row r="80" spans="1:11" ht="31.5" customHeight="1">
      <c r="A80" s="16" t="s">
        <v>128</v>
      </c>
      <c r="B80" s="17" t="s">
        <v>129</v>
      </c>
      <c r="C80" s="17"/>
      <c r="D80" s="16"/>
      <c r="E80" s="16"/>
      <c r="F80" s="16"/>
      <c r="G80" s="61"/>
      <c r="H80" s="82" t="e">
        <f t="shared" si="1"/>
        <v>#DIV/0!</v>
      </c>
      <c r="I80" s="83"/>
      <c r="J80" s="16"/>
      <c r="K80" s="80"/>
    </row>
    <row r="81" spans="1:11" ht="20.25" customHeight="1" hidden="1">
      <c r="A81" s="16" t="s">
        <v>130</v>
      </c>
      <c r="B81" s="110" t="s">
        <v>131</v>
      </c>
      <c r="C81" s="110"/>
      <c r="D81" s="61"/>
      <c r="E81" s="84"/>
      <c r="F81" s="16"/>
      <c r="G81" s="61"/>
      <c r="H81" s="82" t="e">
        <f t="shared" si="1"/>
        <v>#DIV/0!</v>
      </c>
      <c r="I81" s="83"/>
      <c r="J81" s="16"/>
      <c r="K81" s="80"/>
    </row>
    <row r="82" spans="1:11" ht="18" customHeight="1" hidden="1">
      <c r="A82" s="16" t="s">
        <v>132</v>
      </c>
      <c r="B82" s="110" t="s">
        <v>133</v>
      </c>
      <c r="C82" s="110"/>
      <c r="D82" s="61"/>
      <c r="E82" s="84"/>
      <c r="F82" s="16"/>
      <c r="G82" s="61"/>
      <c r="H82" s="82" t="e">
        <f t="shared" si="1"/>
        <v>#DIV/0!</v>
      </c>
      <c r="I82" s="83">
        <f>ROUND(D83/16*4,2)-32.91</f>
        <v>-32.91</v>
      </c>
      <c r="J82" s="16">
        <f>49.37-49.37</f>
        <v>0</v>
      </c>
      <c r="K82" s="80"/>
    </row>
    <row r="83" spans="1:11" s="115" customFormat="1" ht="15.75" hidden="1">
      <c r="A83" s="109" t="s">
        <v>130</v>
      </c>
      <c r="B83" s="111" t="s">
        <v>6</v>
      </c>
      <c r="C83" s="111"/>
      <c r="D83" s="61"/>
      <c r="E83" s="84"/>
      <c r="F83" s="16"/>
      <c r="G83" s="61"/>
      <c r="H83" s="82" t="e">
        <f t="shared" si="1"/>
        <v>#DIV/0!</v>
      </c>
      <c r="I83" s="112" t="e">
        <f>I9+I42+I54+I68+I74+I75+I79</f>
        <v>#REF!</v>
      </c>
      <c r="J83" s="113" t="e">
        <f>J9+J42+J54+J68+J74+J75+J79</f>
        <v>#REF!</v>
      </c>
      <c r="K83" s="114" t="e">
        <f>K9+K42+K54+K68+K74+K75+K79</f>
        <v>#REF!</v>
      </c>
    </row>
    <row r="84" spans="1:11" s="115" customFormat="1" ht="15.75">
      <c r="A84" s="16"/>
      <c r="B84" s="17" t="s">
        <v>134</v>
      </c>
      <c r="C84" s="17"/>
      <c r="D84" s="61"/>
      <c r="E84" s="61"/>
      <c r="F84" s="61"/>
      <c r="G84" s="61"/>
      <c r="H84" s="82" t="e">
        <f t="shared" si="1"/>
        <v>#DIV/0!</v>
      </c>
      <c r="I84" s="112" t="e">
        <f>I85/I83*100</f>
        <v>#REF!</v>
      </c>
      <c r="J84" s="113" t="e">
        <f>J85/J83*100</f>
        <v>#REF!</v>
      </c>
      <c r="K84" s="114" t="e">
        <f>K85/K83*100</f>
        <v>#REF!</v>
      </c>
    </row>
    <row r="85" spans="1:11" ht="15.75">
      <c r="A85" s="16">
        <v>8</v>
      </c>
      <c r="B85" s="17" t="s">
        <v>4</v>
      </c>
      <c r="C85" s="17"/>
      <c r="D85" s="61"/>
      <c r="E85" s="61"/>
      <c r="F85" s="61"/>
      <c r="G85" s="61"/>
      <c r="H85" s="82" t="e">
        <f t="shared" si="1"/>
        <v>#DIV/0!</v>
      </c>
      <c r="I85" s="83">
        <f>I86+I87+I88+I89+I90</f>
        <v>3.7199999999999998</v>
      </c>
      <c r="J85" s="16">
        <f>J86+J87+J88+J89+J90</f>
        <v>6.109999999999999</v>
      </c>
      <c r="K85" s="80">
        <f>K86+K87+K88+K89+K90</f>
        <v>6.109999999999999</v>
      </c>
    </row>
    <row r="86" spans="1:11" ht="15.75">
      <c r="A86" s="16">
        <v>9</v>
      </c>
      <c r="B86" s="17" t="s">
        <v>135</v>
      </c>
      <c r="C86" s="17"/>
      <c r="D86" s="61"/>
      <c r="E86" s="16"/>
      <c r="F86" s="16"/>
      <c r="G86" s="16"/>
      <c r="H86" s="82" t="e">
        <f t="shared" si="1"/>
        <v>#DIV/0!</v>
      </c>
      <c r="I86" s="83"/>
      <c r="J86" s="16"/>
      <c r="K86" s="80"/>
    </row>
    <row r="87" spans="1:11" ht="63" hidden="1">
      <c r="A87" s="16" t="s">
        <v>16</v>
      </c>
      <c r="B87" s="17" t="s">
        <v>136</v>
      </c>
      <c r="C87" s="17"/>
      <c r="D87" s="61"/>
      <c r="E87" s="61"/>
      <c r="F87" s="61"/>
      <c r="G87" s="61"/>
      <c r="H87" s="82" t="e">
        <f t="shared" si="1"/>
        <v>#DIV/0!</v>
      </c>
      <c r="I87" s="83"/>
      <c r="J87" s="16"/>
      <c r="K87" s="80"/>
    </row>
    <row r="88" spans="1:11" ht="30" customHeight="1" hidden="1">
      <c r="A88" s="109" t="s">
        <v>17</v>
      </c>
      <c r="B88" s="111" t="s">
        <v>137</v>
      </c>
      <c r="C88" s="111"/>
      <c r="D88" s="61"/>
      <c r="E88" s="61"/>
      <c r="F88" s="61"/>
      <c r="G88" s="61"/>
      <c r="H88" s="82" t="e">
        <f t="shared" si="1"/>
        <v>#DIV/0!</v>
      </c>
      <c r="I88" s="83">
        <v>3</v>
      </c>
      <c r="J88" s="16">
        <v>4.93</v>
      </c>
      <c r="K88" s="80">
        <v>4.93</v>
      </c>
    </row>
    <row r="89" spans="1:11" ht="15.75" hidden="1">
      <c r="A89" s="16" t="s">
        <v>18</v>
      </c>
      <c r="B89" s="111" t="s">
        <v>138</v>
      </c>
      <c r="C89" s="111"/>
      <c r="D89" s="16"/>
      <c r="E89" s="84"/>
      <c r="F89" s="16"/>
      <c r="G89" s="16"/>
      <c r="H89" s="82" t="e">
        <f t="shared" si="1"/>
        <v>#DIV/0!</v>
      </c>
      <c r="I89" s="83"/>
      <c r="J89" s="16"/>
      <c r="K89" s="80"/>
    </row>
    <row r="90" spans="1:11" ht="15.75" hidden="1">
      <c r="A90" s="16" t="s">
        <v>139</v>
      </c>
      <c r="B90" s="111" t="s">
        <v>140</v>
      </c>
      <c r="C90" s="111"/>
      <c r="D90" s="16"/>
      <c r="E90" s="84"/>
      <c r="F90" s="16"/>
      <c r="G90" s="16"/>
      <c r="H90" s="82" t="e">
        <f t="shared" si="1"/>
        <v>#DIV/0!</v>
      </c>
      <c r="I90" s="83">
        <f>I91</f>
        <v>0.72</v>
      </c>
      <c r="J90" s="16">
        <f>J91</f>
        <v>1.18</v>
      </c>
      <c r="K90" s="80">
        <f>K91</f>
        <v>1.18</v>
      </c>
    </row>
    <row r="91" spans="1:11" ht="15.75" hidden="1">
      <c r="A91" s="116" t="s">
        <v>141</v>
      </c>
      <c r="B91" s="111" t="s">
        <v>142</v>
      </c>
      <c r="C91" s="111"/>
      <c r="D91" s="16"/>
      <c r="E91" s="16"/>
      <c r="F91" s="16"/>
      <c r="G91" s="16"/>
      <c r="H91" s="82" t="e">
        <f t="shared" si="1"/>
        <v>#DIV/0!</v>
      </c>
      <c r="I91" s="83">
        <f>ROUND(I88*0.24,2)</f>
        <v>0.72</v>
      </c>
      <c r="J91" s="16">
        <f>ROUND(J88*0.24,2)</f>
        <v>1.18</v>
      </c>
      <c r="K91" s="80">
        <f>ROUND(K88*0.24,2)</f>
        <v>1.18</v>
      </c>
    </row>
    <row r="92" spans="1:11" s="115" customFormat="1" ht="15.75" hidden="1">
      <c r="A92" s="16" t="s">
        <v>143</v>
      </c>
      <c r="B92" s="111" t="s">
        <v>5</v>
      </c>
      <c r="C92" s="111"/>
      <c r="D92" s="16"/>
      <c r="E92" s="84"/>
      <c r="F92" s="16"/>
      <c r="G92" s="61"/>
      <c r="H92" s="82" t="e">
        <f t="shared" si="1"/>
        <v>#DIV/0!</v>
      </c>
      <c r="I92" s="112" t="e">
        <f>I83+I85</f>
        <v>#REF!</v>
      </c>
      <c r="J92" s="113" t="e">
        <f>J83+J85</f>
        <v>#REF!</v>
      </c>
      <c r="K92" s="114" t="e">
        <f>K83+K85</f>
        <v>#REF!</v>
      </c>
    </row>
    <row r="93" spans="1:11" s="115" customFormat="1" ht="20.25" customHeight="1">
      <c r="A93" s="16">
        <v>10</v>
      </c>
      <c r="B93" s="17" t="s">
        <v>144</v>
      </c>
      <c r="C93" s="17"/>
      <c r="D93" s="61"/>
      <c r="E93" s="61"/>
      <c r="F93" s="61"/>
      <c r="G93" s="61"/>
      <c r="H93" s="82" t="e">
        <f t="shared" si="1"/>
        <v>#DIV/0!</v>
      </c>
      <c r="I93" s="117">
        <v>124.86</v>
      </c>
      <c r="J93" s="118">
        <v>187.27</v>
      </c>
      <c r="K93" s="119">
        <v>187.27</v>
      </c>
    </row>
    <row r="94" spans="1:11" ht="31.5" hidden="1">
      <c r="A94" s="120">
        <v>11</v>
      </c>
      <c r="B94" s="121" t="s">
        <v>153</v>
      </c>
      <c r="C94" s="121"/>
      <c r="D94" s="118">
        <v>499.4</v>
      </c>
      <c r="E94" s="122"/>
      <c r="F94" s="118"/>
      <c r="G94" s="61"/>
      <c r="H94" s="61" t="e">
        <f>D95-#REF!</f>
        <v>#REF!</v>
      </c>
      <c r="I94" s="79" t="e">
        <f>ROUND(I92/I93,2)</f>
        <v>#REF!</v>
      </c>
      <c r="J94" s="61" t="e">
        <f>ROUND(J92/J93,2)</f>
        <v>#REF!</v>
      </c>
      <c r="K94" s="85" t="e">
        <f>ROUND(K92/K93,2)</f>
        <v>#REF!</v>
      </c>
    </row>
    <row r="95" spans="1:11" ht="15.75" hidden="1">
      <c r="A95" s="123">
        <v>12</v>
      </c>
      <c r="B95" s="121" t="s">
        <v>7</v>
      </c>
      <c r="C95" s="121"/>
      <c r="D95" s="16">
        <f>ROUND(D93/D94,2)</f>
        <v>0</v>
      </c>
      <c r="E95" s="61" t="e">
        <f>ROUND(E93/E94,2)</f>
        <v>#DIV/0!</v>
      </c>
      <c r="F95" s="61" t="e">
        <f>ROUND(F93/F94,2)</f>
        <v>#DIV/0!</v>
      </c>
      <c r="G95" s="61"/>
      <c r="H95" s="61" t="e">
        <f>D96-#REF!</f>
        <v>#REF!</v>
      </c>
      <c r="I95" s="79" t="e">
        <f>ROUND(I94*1.18,2)</f>
        <v>#REF!</v>
      </c>
      <c r="J95" s="61" t="e">
        <f>ROUND(J94*1.18,2)</f>
        <v>#REF!</v>
      </c>
      <c r="K95" s="85" t="e">
        <f>ROUND(K94*1.18,2)</f>
        <v>#REF!</v>
      </c>
    </row>
    <row r="96" spans="1:11" ht="15.75" hidden="1">
      <c r="A96" s="123"/>
      <c r="B96" s="124" t="s">
        <v>145</v>
      </c>
      <c r="C96" s="124"/>
      <c r="D96" s="16">
        <f>ROUND(D95*1.18,2)</f>
        <v>0</v>
      </c>
      <c r="E96" s="61" t="e">
        <f>ROUND(E95*1.18,2)</f>
        <v>#DIV/0!</v>
      </c>
      <c r="F96" s="61" t="e">
        <f>ROUND(F95*1.18,2)</f>
        <v>#DIV/0!</v>
      </c>
      <c r="G96" s="125"/>
      <c r="H96" s="61" t="e">
        <f>D97-#REF!</f>
        <v>#REF!</v>
      </c>
      <c r="I96" s="126"/>
      <c r="J96" s="125"/>
      <c r="K96" s="127"/>
    </row>
    <row r="97" spans="1:11" ht="32.25" hidden="1" thickBot="1">
      <c r="A97" s="128"/>
      <c r="B97" s="129" t="s">
        <v>148</v>
      </c>
      <c r="C97" s="129"/>
      <c r="D97" s="16">
        <v>31.51</v>
      </c>
      <c r="E97" s="130"/>
      <c r="F97" s="125"/>
      <c r="G97" s="131"/>
      <c r="H97" s="61" t="e">
        <f>D98-#REF!</f>
        <v>#REF!</v>
      </c>
      <c r="I97" s="132" t="e">
        <f>I95/D97*100</f>
        <v>#REF!</v>
      </c>
      <c r="J97" s="133" t="e">
        <f>J95/I95*100</f>
        <v>#REF!</v>
      </c>
      <c r="K97" s="134" t="e">
        <f>K95/J95*100</f>
        <v>#REF!</v>
      </c>
    </row>
    <row r="98" spans="2:11" ht="16.5" hidden="1" thickBot="1">
      <c r="B98" s="135" t="s">
        <v>146</v>
      </c>
      <c r="C98" s="129"/>
      <c r="D98" s="16"/>
      <c r="E98" s="136"/>
      <c r="F98" s="131"/>
      <c r="I98" s="52">
        <v>31.51</v>
      </c>
      <c r="J98" s="52">
        <v>31.51</v>
      </c>
      <c r="K98" s="52">
        <v>33.4</v>
      </c>
    </row>
    <row r="99" spans="9:11" ht="12.75">
      <c r="I99" s="52">
        <f>(I98*I93)/1.18</f>
        <v>3334.1852542372885</v>
      </c>
      <c r="J99" s="52">
        <f>(J98*J93)/1.18</f>
        <v>5000.743813559323</v>
      </c>
      <c r="K99" s="52">
        <f>(K98*K93)/1.18</f>
        <v>5300.693220338983</v>
      </c>
    </row>
    <row r="100" spans="2:8" ht="12.75">
      <c r="B100" s="65" t="s">
        <v>235</v>
      </c>
      <c r="C100" s="65"/>
      <c r="D100" s="65"/>
      <c r="E100" s="138"/>
      <c r="F100" s="65"/>
      <c r="G100" s="65"/>
      <c r="H100" s="65"/>
    </row>
    <row r="101" spans="2:11" ht="12.75">
      <c r="B101" s="65"/>
      <c r="C101" s="65"/>
      <c r="D101" s="65"/>
      <c r="E101" s="138"/>
      <c r="F101" s="65"/>
      <c r="G101" s="65"/>
      <c r="H101" s="65"/>
      <c r="I101" s="52">
        <v>26.7</v>
      </c>
      <c r="J101" s="52">
        <v>26.7</v>
      </c>
      <c r="K101" s="52">
        <v>28.3</v>
      </c>
    </row>
    <row r="103" spans="9:11" ht="12.75">
      <c r="I103" s="52">
        <f>I101*I93</f>
        <v>3333.7619999999997</v>
      </c>
      <c r="J103" s="52">
        <f>J101*J93</f>
        <v>5000.109</v>
      </c>
      <c r="K103" s="52">
        <f>K101*K93</f>
        <v>5299.741</v>
      </c>
    </row>
    <row r="105" spans="7:11" ht="12.75">
      <c r="G105" s="139"/>
      <c r="H105" s="139"/>
      <c r="I105" s="139" t="e">
        <f>I92-I103</f>
        <v>#REF!</v>
      </c>
      <c r="J105" s="139" t="e">
        <f>J92-J103</f>
        <v>#REF!</v>
      </c>
      <c r="K105" s="139" t="e">
        <f>K92-K103</f>
        <v>#REF!</v>
      </c>
    </row>
    <row r="106" spans="5:6" ht="12.75">
      <c r="E106" s="139">
        <f>E93-E104</f>
        <v>0</v>
      </c>
      <c r="F106" s="139">
        <f>F93-F104</f>
        <v>0</v>
      </c>
    </row>
    <row r="107" ht="12.75">
      <c r="K107" s="52">
        <v>29.37</v>
      </c>
    </row>
    <row r="109" ht="12.75">
      <c r="K109" s="52">
        <f>K107*K93</f>
        <v>5500.119900000001</v>
      </c>
    </row>
    <row r="111" ht="12.75">
      <c r="K111" s="139" t="e">
        <f>K92-K109</f>
        <v>#REF!</v>
      </c>
    </row>
  </sheetData>
  <sheetProtection/>
  <mergeCells count="12">
    <mergeCell ref="F1:H1"/>
    <mergeCell ref="A3:H3"/>
    <mergeCell ref="A4:H4"/>
    <mergeCell ref="A5:G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view="pageLayout" workbookViewId="0" topLeftCell="A1">
      <selection activeCell="G10" sqref="G10"/>
    </sheetView>
  </sheetViews>
  <sheetFormatPr defaultColWidth="9.140625" defaultRowHeight="12.75"/>
  <cols>
    <col min="1" max="1" width="8.421875" style="52" customWidth="1"/>
    <col min="2" max="2" width="38.8515625" style="52" customWidth="1"/>
    <col min="3" max="4" width="12.28125" style="52" customWidth="1"/>
    <col min="5" max="5" width="12.8515625" style="137" hidden="1" customWidth="1"/>
    <col min="6" max="6" width="14.00390625" style="52" hidden="1" customWidth="1"/>
    <col min="7" max="7" width="13.140625" style="52" customWidth="1"/>
    <col min="8" max="9" width="14.00390625" style="52" customWidth="1"/>
    <col min="10" max="11" width="0" style="52" hidden="1" customWidth="1"/>
    <col min="12" max="12" width="16.8515625" style="52" hidden="1" customWidth="1"/>
    <col min="13" max="13" width="13.421875" style="52" hidden="1" customWidth="1"/>
    <col min="14" max="14" width="12.140625" style="52" hidden="1" customWidth="1"/>
    <col min="15" max="15" width="11.421875" style="52" hidden="1" customWidth="1"/>
    <col min="16" max="16" width="0" style="52" hidden="1" customWidth="1"/>
    <col min="17" max="17" width="45.28125" style="52" customWidth="1"/>
    <col min="18" max="16384" width="9.140625" style="52" customWidth="1"/>
  </cols>
  <sheetData>
    <row r="1" spans="1:17" ht="36" customHeight="1">
      <c r="A1" s="63"/>
      <c r="C1" s="64"/>
      <c r="D1" s="64"/>
      <c r="E1" s="64"/>
      <c r="F1" s="64"/>
      <c r="G1" s="193" t="s">
        <v>243</v>
      </c>
      <c r="H1" s="193"/>
      <c r="I1" s="193"/>
      <c r="Q1" s="140" t="s">
        <v>221</v>
      </c>
    </row>
    <row r="2" spans="1:6" ht="18.75">
      <c r="A2" s="63"/>
      <c r="B2" s="63"/>
      <c r="C2" s="63"/>
      <c r="D2" s="63"/>
      <c r="E2" s="66"/>
      <c r="F2" s="63"/>
    </row>
    <row r="3" spans="1:9" ht="18.75">
      <c r="A3" s="200" t="s">
        <v>236</v>
      </c>
      <c r="B3" s="200"/>
      <c r="C3" s="200"/>
      <c r="D3" s="200"/>
      <c r="E3" s="200"/>
      <c r="F3" s="200"/>
      <c r="G3" s="200"/>
      <c r="H3" s="200"/>
      <c r="I3" s="200"/>
    </row>
    <row r="4" spans="1:9" ht="63" customHeight="1">
      <c r="A4" s="186" t="str">
        <f>'[4]пр 1'!A4:E4</f>
        <v>Федерального государственного унитарного предприятия "Горно-Химический комбинат"(питьевая вода)
(г. Железногорск, ИНН 2452000401)</v>
      </c>
      <c r="B4" s="186"/>
      <c r="C4" s="186"/>
      <c r="D4" s="186"/>
      <c r="E4" s="186"/>
      <c r="F4" s="186"/>
      <c r="G4" s="186"/>
      <c r="H4" s="186"/>
      <c r="I4" s="186"/>
    </row>
    <row r="5" spans="1:9" ht="18.75">
      <c r="A5" s="195"/>
      <c r="B5" s="195"/>
      <c r="C5" s="195"/>
      <c r="D5" s="195"/>
      <c r="E5" s="195"/>
      <c r="F5" s="195"/>
      <c r="G5" s="195"/>
      <c r="H5" s="195"/>
      <c r="I5" s="195"/>
    </row>
    <row r="6" spans="1:9" ht="15.75">
      <c r="A6" s="141"/>
      <c r="B6" s="141"/>
      <c r="C6" s="141"/>
      <c r="D6" s="141"/>
      <c r="E6" s="142"/>
      <c r="F6" s="141"/>
      <c r="G6" s="141"/>
      <c r="H6" s="141"/>
      <c r="I6" s="69" t="s">
        <v>157</v>
      </c>
    </row>
    <row r="7" spans="1:9" ht="21" customHeight="1">
      <c r="A7" s="201"/>
      <c r="B7" s="201" t="s">
        <v>0</v>
      </c>
      <c r="C7" s="201" t="s">
        <v>167</v>
      </c>
      <c r="D7" s="201" t="s">
        <v>168</v>
      </c>
      <c r="E7" s="201" t="s">
        <v>22</v>
      </c>
      <c r="F7" s="201"/>
      <c r="G7" s="201" t="s">
        <v>149</v>
      </c>
      <c r="H7" s="201"/>
      <c r="I7" s="201"/>
    </row>
    <row r="8" spans="1:9" ht="84" customHeight="1">
      <c r="A8" s="201"/>
      <c r="B8" s="201"/>
      <c r="C8" s="201"/>
      <c r="D8" s="201"/>
      <c r="E8" s="84" t="s">
        <v>23</v>
      </c>
      <c r="F8" s="16" t="s">
        <v>24</v>
      </c>
      <c r="G8" s="97" t="s">
        <v>150</v>
      </c>
      <c r="H8" s="97" t="s">
        <v>151</v>
      </c>
      <c r="I8" s="97" t="s">
        <v>152</v>
      </c>
    </row>
    <row r="9" spans="1:9" ht="16.5" customHeight="1">
      <c r="A9" s="16">
        <v>1</v>
      </c>
      <c r="B9" s="16">
        <v>2</v>
      </c>
      <c r="C9" s="16">
        <v>3</v>
      </c>
      <c r="D9" s="16">
        <v>4</v>
      </c>
      <c r="E9" s="84"/>
      <c r="F9" s="16"/>
      <c r="G9" s="16">
        <v>5</v>
      </c>
      <c r="H9" s="16">
        <v>6</v>
      </c>
      <c r="I9" s="16">
        <v>7</v>
      </c>
    </row>
    <row r="10" spans="1:15" s="81" customFormat="1" ht="17.25" customHeight="1">
      <c r="A10" s="16">
        <v>1</v>
      </c>
      <c r="B10" s="17" t="s">
        <v>25</v>
      </c>
      <c r="C10" s="61">
        <v>9999.065</v>
      </c>
      <c r="D10" s="61">
        <v>11592.77</v>
      </c>
      <c r="E10" s="16">
        <v>6710.649999999999</v>
      </c>
      <c r="F10" s="16">
        <v>15839.28</v>
      </c>
      <c r="G10" s="61">
        <v>2815.79</v>
      </c>
      <c r="H10" s="16">
        <v>4222.599999999999</v>
      </c>
      <c r="I10" s="16">
        <v>4554.379999999999</v>
      </c>
      <c r="K10" s="81">
        <v>14486.95464</v>
      </c>
      <c r="L10" s="81">
        <v>11592.77</v>
      </c>
      <c r="M10" s="81">
        <v>2815.79</v>
      </c>
      <c r="N10" s="81">
        <v>4222.599999999999</v>
      </c>
      <c r="O10" s="81">
        <v>4554.379999999999</v>
      </c>
    </row>
    <row r="11" spans="1:12" ht="33.75" customHeight="1">
      <c r="A11" s="16" t="s">
        <v>20</v>
      </c>
      <c r="B11" s="17" t="s">
        <v>26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K11" s="52">
        <v>0</v>
      </c>
      <c r="L11" s="52">
        <v>0</v>
      </c>
    </row>
    <row r="12" spans="1:15" ht="35.25" customHeight="1">
      <c r="A12" s="16" t="s">
        <v>21</v>
      </c>
      <c r="B12" s="17" t="s">
        <v>27</v>
      </c>
      <c r="C12" s="61">
        <v>8864.875</v>
      </c>
      <c r="D12" s="61">
        <v>10070.81</v>
      </c>
      <c r="E12" s="84">
        <v>448.32</v>
      </c>
      <c r="F12" s="16">
        <v>7856.800000000001</v>
      </c>
      <c r="G12" s="61">
        <v>2450.8999999999996</v>
      </c>
      <c r="H12" s="61">
        <v>3675.2699999999995</v>
      </c>
      <c r="I12" s="61">
        <v>3944.64</v>
      </c>
      <c r="K12" s="52">
        <v>10899.70464</v>
      </c>
      <c r="L12" s="52">
        <v>10070.81</v>
      </c>
      <c r="M12" s="52">
        <v>2450.8999999999996</v>
      </c>
      <c r="N12" s="52">
        <v>3675.2699999999995</v>
      </c>
      <c r="O12" s="52">
        <v>3944.64</v>
      </c>
    </row>
    <row r="13" spans="1:15" ht="28.5" customHeight="1">
      <c r="A13" s="16" t="s">
        <v>28</v>
      </c>
      <c r="B13" s="17" t="s">
        <v>29</v>
      </c>
      <c r="C13" s="61">
        <v>1177</v>
      </c>
      <c r="D13" s="61">
        <v>2289.54</v>
      </c>
      <c r="E13" s="86">
        <v>448.32</v>
      </c>
      <c r="F13" s="61">
        <v>7856.800000000001</v>
      </c>
      <c r="G13" s="61">
        <v>548.03</v>
      </c>
      <c r="H13" s="61">
        <v>821.28</v>
      </c>
      <c r="I13" s="61">
        <v>920.23</v>
      </c>
      <c r="K13" s="52">
        <v>3288.8486399999997</v>
      </c>
      <c r="L13" s="52">
        <v>2289.54</v>
      </c>
      <c r="M13" s="52">
        <v>548.03</v>
      </c>
      <c r="N13" s="52">
        <v>821.28</v>
      </c>
      <c r="O13" s="52">
        <v>920.23</v>
      </c>
    </row>
    <row r="14" spans="1:15" ht="30" customHeight="1">
      <c r="A14" s="16" t="s">
        <v>30</v>
      </c>
      <c r="B14" s="17" t="s">
        <v>31</v>
      </c>
      <c r="C14" s="87">
        <v>1177</v>
      </c>
      <c r="D14" s="61">
        <v>2289.54</v>
      </c>
      <c r="E14" s="84">
        <v>329.14</v>
      </c>
      <c r="F14" s="16">
        <v>7370.870000000001</v>
      </c>
      <c r="G14" s="16">
        <v>548.03</v>
      </c>
      <c r="H14" s="16">
        <v>821.28</v>
      </c>
      <c r="I14" s="16">
        <v>920.23</v>
      </c>
      <c r="K14" s="52">
        <v>3288.8486399999997</v>
      </c>
      <c r="L14" s="52">
        <v>2289.54</v>
      </c>
      <c r="M14" s="52">
        <v>548.03</v>
      </c>
      <c r="N14" s="52">
        <v>821.28</v>
      </c>
      <c r="O14" s="52">
        <v>920.23</v>
      </c>
    </row>
    <row r="15" spans="1:15" s="91" customFormat="1" ht="16.5" customHeight="1">
      <c r="A15" s="89"/>
      <c r="B15" s="143" t="s">
        <v>32</v>
      </c>
      <c r="C15" s="16">
        <v>676.4367816091955</v>
      </c>
      <c r="D15" s="89">
        <v>1179.14</v>
      </c>
      <c r="E15" s="144"/>
      <c r="F15" s="89"/>
      <c r="G15" s="89">
        <v>291.34999999999997</v>
      </c>
      <c r="H15" s="89">
        <v>436.62</v>
      </c>
      <c r="I15" s="89">
        <v>451.17</v>
      </c>
      <c r="K15" s="91">
        <v>1712.942</v>
      </c>
      <c r="L15" s="91">
        <v>1179.14</v>
      </c>
      <c r="M15" s="91">
        <v>291.34999999999997</v>
      </c>
      <c r="N15" s="91">
        <v>436.62</v>
      </c>
      <c r="O15" s="91">
        <v>451.17</v>
      </c>
    </row>
    <row r="16" spans="1:15" s="91" customFormat="1" ht="15" customHeight="1">
      <c r="A16" s="89"/>
      <c r="B16" s="143" t="s">
        <v>33</v>
      </c>
      <c r="C16" s="89">
        <v>1.7399999999999998</v>
      </c>
      <c r="D16" s="145">
        <v>1.9417032752684158</v>
      </c>
      <c r="E16" s="144"/>
      <c r="F16" s="89"/>
      <c r="G16" s="89">
        <v>1.8809999999999998</v>
      </c>
      <c r="H16" s="89">
        <v>1.8809999999999998</v>
      </c>
      <c r="I16" s="145">
        <v>2.0396549999999998</v>
      </c>
      <c r="K16" s="91">
        <v>1.92</v>
      </c>
      <c r="L16" s="91">
        <v>1.9417032752684158</v>
      </c>
      <c r="M16" s="91">
        <v>1.8809999999999998</v>
      </c>
      <c r="N16" s="91">
        <v>1.8809999999999998</v>
      </c>
      <c r="O16" s="91">
        <v>2.0396549999999998</v>
      </c>
    </row>
    <row r="17" spans="1:12" ht="32.25" customHeight="1" hidden="1">
      <c r="A17" s="16" t="s">
        <v>34</v>
      </c>
      <c r="B17" s="17" t="s">
        <v>35</v>
      </c>
      <c r="C17" s="61">
        <v>0</v>
      </c>
      <c r="D17" s="16">
        <v>0</v>
      </c>
      <c r="E17" s="84">
        <v>119.18</v>
      </c>
      <c r="F17" s="16">
        <v>485.92999999999995</v>
      </c>
      <c r="G17" s="16"/>
      <c r="H17" s="16"/>
      <c r="I17" s="16"/>
      <c r="K17" s="52">
        <v>0</v>
      </c>
      <c r="L17" s="52">
        <v>0</v>
      </c>
    </row>
    <row r="18" spans="1:11" s="91" customFormat="1" ht="15.75" customHeight="1" hidden="1">
      <c r="A18" s="89"/>
      <c r="B18" s="143" t="s">
        <v>32</v>
      </c>
      <c r="C18" s="89">
        <v>0</v>
      </c>
      <c r="D18" s="89"/>
      <c r="E18" s="144"/>
      <c r="F18" s="89"/>
      <c r="G18" s="89"/>
      <c r="H18" s="89"/>
      <c r="I18" s="89"/>
      <c r="K18" s="91">
        <v>0</v>
      </c>
    </row>
    <row r="19" spans="1:11" s="91" customFormat="1" ht="18" customHeight="1" hidden="1">
      <c r="A19" s="89"/>
      <c r="B19" s="143" t="s">
        <v>33</v>
      </c>
      <c r="C19" s="89">
        <v>0</v>
      </c>
      <c r="D19" s="146"/>
      <c r="E19" s="144"/>
      <c r="F19" s="89"/>
      <c r="G19" s="89"/>
      <c r="H19" s="89"/>
      <c r="I19" s="89"/>
      <c r="K19" s="91">
        <v>0</v>
      </c>
    </row>
    <row r="20" spans="1:9" ht="19.5" customHeight="1">
      <c r="A20" s="16" t="s">
        <v>36</v>
      </c>
      <c r="B20" s="17" t="s">
        <v>37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ht="18.75" customHeight="1">
      <c r="A21" s="16" t="s">
        <v>38</v>
      </c>
      <c r="B21" s="17" t="s">
        <v>39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15" ht="18.75" customHeight="1">
      <c r="A22" s="16" t="s">
        <v>40</v>
      </c>
      <c r="B22" s="17" t="s">
        <v>154</v>
      </c>
      <c r="C22" s="61">
        <v>7687.875</v>
      </c>
      <c r="D22" s="89">
        <v>7781.2699999999995</v>
      </c>
      <c r="E22" s="61">
        <v>0</v>
      </c>
      <c r="F22" s="61">
        <v>0</v>
      </c>
      <c r="G22" s="61">
        <v>1902.87</v>
      </c>
      <c r="H22" s="61">
        <v>2853.99</v>
      </c>
      <c r="I22" s="61">
        <v>3024.41</v>
      </c>
      <c r="K22" s="52">
        <v>7610.856</v>
      </c>
      <c r="L22" s="52">
        <v>7781.2699999999995</v>
      </c>
      <c r="M22" s="52">
        <v>1902.87</v>
      </c>
      <c r="N22" s="52">
        <v>2853.99</v>
      </c>
      <c r="O22" s="52">
        <v>3024.41</v>
      </c>
    </row>
    <row r="23" spans="1:15" s="91" customFormat="1" ht="28.5" customHeight="1">
      <c r="A23" s="89" t="s">
        <v>41</v>
      </c>
      <c r="B23" s="143" t="s">
        <v>42</v>
      </c>
      <c r="C23" s="89">
        <v>539.5</v>
      </c>
      <c r="D23" s="89">
        <v>499.4</v>
      </c>
      <c r="E23" s="144"/>
      <c r="F23" s="89"/>
      <c r="G23" s="89">
        <v>124.86</v>
      </c>
      <c r="H23" s="89">
        <v>187.27</v>
      </c>
      <c r="I23" s="89">
        <v>187.27</v>
      </c>
      <c r="K23" s="91">
        <v>499.4</v>
      </c>
      <c r="L23" s="91">
        <v>499.4</v>
      </c>
      <c r="M23" s="91">
        <v>124.86</v>
      </c>
      <c r="N23" s="91">
        <v>187.27</v>
      </c>
      <c r="O23" s="91">
        <v>187.27</v>
      </c>
    </row>
    <row r="24" spans="1:15" s="91" customFormat="1" ht="16.5" customHeight="1">
      <c r="A24" s="89" t="s">
        <v>43</v>
      </c>
      <c r="B24" s="143" t="s">
        <v>44</v>
      </c>
      <c r="C24" s="89">
        <v>14.25</v>
      </c>
      <c r="D24" s="89"/>
      <c r="E24" s="144"/>
      <c r="F24" s="89"/>
      <c r="G24" s="89">
        <v>15.24</v>
      </c>
      <c r="H24" s="89">
        <v>15.24</v>
      </c>
      <c r="I24" s="89">
        <v>16.15</v>
      </c>
      <c r="K24" s="91">
        <v>15.24</v>
      </c>
      <c r="L24" s="91">
        <v>15.581237484981978</v>
      </c>
      <c r="M24" s="91">
        <v>15.24</v>
      </c>
      <c r="N24" s="91">
        <v>15.24</v>
      </c>
      <c r="O24" s="91">
        <v>16.15</v>
      </c>
    </row>
    <row r="25" spans="1:9" ht="34.5" customHeight="1">
      <c r="A25" s="16" t="s">
        <v>45</v>
      </c>
      <c r="B25" s="17" t="s">
        <v>46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1:15" ht="31.5">
      <c r="A26" s="16" t="s">
        <v>47</v>
      </c>
      <c r="B26" s="17" t="s">
        <v>48</v>
      </c>
      <c r="C26" s="16">
        <v>493.02</v>
      </c>
      <c r="D26" s="16">
        <v>916.42</v>
      </c>
      <c r="E26" s="84">
        <v>4302.4</v>
      </c>
      <c r="F26" s="16">
        <v>4056.64</v>
      </c>
      <c r="G26" s="16">
        <v>219.71</v>
      </c>
      <c r="H26" s="16">
        <v>329.57</v>
      </c>
      <c r="I26" s="16">
        <v>367.14</v>
      </c>
      <c r="K26" s="52">
        <v>1447.9</v>
      </c>
      <c r="L26" s="52">
        <v>916.42</v>
      </c>
      <c r="M26" s="52">
        <v>219.71</v>
      </c>
      <c r="N26" s="52">
        <v>329.57</v>
      </c>
      <c r="O26" s="52">
        <v>367.14</v>
      </c>
    </row>
    <row r="27" spans="1:15" s="91" customFormat="1" ht="15.75">
      <c r="A27" s="89" t="s">
        <v>49</v>
      </c>
      <c r="B27" s="143" t="s">
        <v>11</v>
      </c>
      <c r="C27" s="89">
        <v>2.4</v>
      </c>
      <c r="D27" s="89">
        <v>2.4</v>
      </c>
      <c r="E27" s="144"/>
      <c r="F27" s="89"/>
      <c r="G27" s="89">
        <v>2.4</v>
      </c>
      <c r="H27" s="89">
        <v>2.4</v>
      </c>
      <c r="I27" s="89">
        <v>2.4</v>
      </c>
      <c r="K27" s="91">
        <v>2.4</v>
      </c>
      <c r="L27" s="91">
        <v>2.4</v>
      </c>
      <c r="M27" s="91">
        <v>2.4</v>
      </c>
      <c r="N27" s="91">
        <v>2.4</v>
      </c>
      <c r="O27" s="91">
        <v>2.4</v>
      </c>
    </row>
    <row r="28" spans="1:9" s="91" customFormat="1" ht="15.75" hidden="1">
      <c r="A28" s="89" t="s">
        <v>50</v>
      </c>
      <c r="B28" s="143" t="s">
        <v>12</v>
      </c>
      <c r="C28" s="89"/>
      <c r="D28" s="89"/>
      <c r="E28" s="144"/>
      <c r="F28" s="89"/>
      <c r="G28" s="89"/>
      <c r="H28" s="89"/>
      <c r="I28" s="89"/>
    </row>
    <row r="29" spans="1:9" s="91" customFormat="1" ht="15.75" hidden="1">
      <c r="A29" s="89" t="s">
        <v>51</v>
      </c>
      <c r="B29" s="143" t="s">
        <v>13</v>
      </c>
      <c r="C29" s="89"/>
      <c r="D29" s="89"/>
      <c r="E29" s="144"/>
      <c r="F29" s="89"/>
      <c r="G29" s="89"/>
      <c r="H29" s="89"/>
      <c r="I29" s="89"/>
    </row>
    <row r="30" spans="1:15" s="101" customFormat="1" ht="31.5">
      <c r="A30" s="99" t="s">
        <v>52</v>
      </c>
      <c r="B30" s="147" t="s">
        <v>53</v>
      </c>
      <c r="C30" s="99">
        <v>17118.75</v>
      </c>
      <c r="D30" s="99">
        <v>23865.1</v>
      </c>
      <c r="E30" s="99" t="e">
        <v>#DIV/0!</v>
      </c>
      <c r="F30" s="99" t="e">
        <v>#DIV/0!</v>
      </c>
      <c r="G30" s="99">
        <v>22886.46</v>
      </c>
      <c r="H30" s="99">
        <v>22886.81</v>
      </c>
      <c r="I30" s="99">
        <v>25495.83</v>
      </c>
      <c r="K30" s="101">
        <v>37705.73</v>
      </c>
      <c r="L30" s="101">
        <v>23865.1</v>
      </c>
      <c r="M30" s="101">
        <v>22886.46</v>
      </c>
      <c r="N30" s="101">
        <v>22886.81</v>
      </c>
      <c r="O30" s="101">
        <v>25495.83</v>
      </c>
    </row>
    <row r="31" spans="1:15" ht="15.75">
      <c r="A31" s="16" t="s">
        <v>54</v>
      </c>
      <c r="B31" s="17" t="s">
        <v>55</v>
      </c>
      <c r="C31" s="16">
        <v>150.37</v>
      </c>
      <c r="D31" s="16">
        <v>279.51</v>
      </c>
      <c r="E31" s="16">
        <v>1312.23</v>
      </c>
      <c r="F31" s="16">
        <v>1237.28</v>
      </c>
      <c r="G31" s="16">
        <v>67.01</v>
      </c>
      <c r="H31" s="16">
        <v>100.52</v>
      </c>
      <c r="I31" s="16">
        <v>111.98</v>
      </c>
      <c r="K31" s="52">
        <v>441.61</v>
      </c>
      <c r="L31" s="52">
        <v>279.51</v>
      </c>
      <c r="M31" s="52">
        <v>67.01</v>
      </c>
      <c r="N31" s="52">
        <v>100.52</v>
      </c>
      <c r="O31" s="52">
        <v>111.98</v>
      </c>
    </row>
    <row r="32" spans="1:15" ht="15.75">
      <c r="A32" s="16" t="s">
        <v>56</v>
      </c>
      <c r="B32" s="17" t="s">
        <v>57</v>
      </c>
      <c r="C32" s="16">
        <v>30.5</v>
      </c>
      <c r="D32" s="16">
        <v>30.5</v>
      </c>
      <c r="E32" s="16">
        <v>30.5</v>
      </c>
      <c r="F32" s="16">
        <v>30.5</v>
      </c>
      <c r="G32" s="16">
        <v>30.5</v>
      </c>
      <c r="H32" s="16">
        <v>30.5</v>
      </c>
      <c r="I32" s="16">
        <v>30.5</v>
      </c>
      <c r="K32" s="52">
        <v>30.5</v>
      </c>
      <c r="L32" s="52">
        <v>30.5</v>
      </c>
      <c r="M32" s="52">
        <v>30.5</v>
      </c>
      <c r="N32" s="52">
        <v>30.5</v>
      </c>
      <c r="O32" s="52">
        <v>30.5</v>
      </c>
    </row>
    <row r="33" spans="1:9" ht="63" customHeight="1">
      <c r="A33" s="16" t="s">
        <v>58</v>
      </c>
      <c r="B33" s="17" t="s">
        <v>59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15" ht="33.75" customHeight="1">
      <c r="A34" s="16" t="s">
        <v>60</v>
      </c>
      <c r="B34" s="17" t="s">
        <v>61</v>
      </c>
      <c r="C34" s="61">
        <v>241.67</v>
      </c>
      <c r="D34" s="61">
        <v>326.03000000000003</v>
      </c>
      <c r="E34" s="61">
        <v>647.7</v>
      </c>
      <c r="F34" s="61">
        <v>2688.56</v>
      </c>
      <c r="G34" s="61">
        <v>78.17</v>
      </c>
      <c r="H34" s="61">
        <v>117.24000000000001</v>
      </c>
      <c r="I34" s="61">
        <v>130.62</v>
      </c>
      <c r="K34" s="52">
        <v>1697.74</v>
      </c>
      <c r="L34" s="52">
        <v>326.03000000000003</v>
      </c>
      <c r="M34" s="52">
        <v>78.17</v>
      </c>
      <c r="N34" s="52">
        <v>117.24000000000001</v>
      </c>
      <c r="O34" s="52">
        <v>130.62</v>
      </c>
    </row>
    <row r="35" spans="1:15" ht="30.75" customHeight="1">
      <c r="A35" s="16" t="s">
        <v>62</v>
      </c>
      <c r="B35" s="17" t="s">
        <v>63</v>
      </c>
      <c r="C35" s="16">
        <v>185.19</v>
      </c>
      <c r="D35" s="16">
        <v>249.83</v>
      </c>
      <c r="E35" s="84">
        <v>496.32</v>
      </c>
      <c r="F35" s="16">
        <v>2060.2</v>
      </c>
      <c r="G35" s="16">
        <v>59.9</v>
      </c>
      <c r="H35" s="16">
        <v>89.84</v>
      </c>
      <c r="I35" s="16">
        <v>100.09</v>
      </c>
      <c r="K35" s="52">
        <v>1300.95</v>
      </c>
      <c r="L35" s="52">
        <v>249.83</v>
      </c>
      <c r="M35" s="52">
        <v>59.9</v>
      </c>
      <c r="N35" s="52">
        <v>89.84</v>
      </c>
      <c r="O35" s="52">
        <v>100.09</v>
      </c>
    </row>
    <row r="36" spans="1:15" ht="22.5" customHeight="1">
      <c r="A36" s="16"/>
      <c r="B36" s="143" t="s">
        <v>11</v>
      </c>
      <c r="C36" s="16">
        <v>0.5</v>
      </c>
      <c r="D36" s="16">
        <v>0.5</v>
      </c>
      <c r="E36" s="84"/>
      <c r="F36" s="16"/>
      <c r="G36" s="16">
        <v>0.5</v>
      </c>
      <c r="H36" s="16">
        <v>0.5</v>
      </c>
      <c r="I36" s="16">
        <v>0.5</v>
      </c>
      <c r="K36" s="52">
        <v>1.5</v>
      </c>
      <c r="L36" s="52">
        <v>0.5</v>
      </c>
      <c r="M36" s="52">
        <v>0.5</v>
      </c>
      <c r="N36" s="52">
        <v>0.5</v>
      </c>
      <c r="O36" s="52">
        <v>0.5</v>
      </c>
    </row>
    <row r="37" spans="1:9" ht="17.25" customHeight="1" hidden="1">
      <c r="A37" s="16"/>
      <c r="B37" s="143" t="s">
        <v>13</v>
      </c>
      <c r="C37" s="16"/>
      <c r="D37" s="16"/>
      <c r="E37" s="84"/>
      <c r="F37" s="16"/>
      <c r="G37" s="16"/>
      <c r="H37" s="16"/>
      <c r="I37" s="16"/>
    </row>
    <row r="38" spans="1:15" s="105" customFormat="1" ht="30.75" customHeight="1">
      <c r="A38" s="97"/>
      <c r="B38" s="147" t="s">
        <v>53</v>
      </c>
      <c r="C38" s="92">
        <v>30865</v>
      </c>
      <c r="D38" s="92">
        <v>31228.75</v>
      </c>
      <c r="E38" s="92" t="e">
        <v>#DIV/0!</v>
      </c>
      <c r="F38" s="92" t="e">
        <v>#DIV/0!</v>
      </c>
      <c r="G38" s="92">
        <v>29950</v>
      </c>
      <c r="H38" s="92">
        <v>29946.666666666668</v>
      </c>
      <c r="I38" s="92">
        <v>33363.333333333336</v>
      </c>
      <c r="K38" s="105">
        <v>54206.25000000001</v>
      </c>
      <c r="L38" s="105">
        <v>31228.75</v>
      </c>
      <c r="M38" s="105">
        <v>29950</v>
      </c>
      <c r="N38" s="105">
        <v>29946.666666666668</v>
      </c>
      <c r="O38" s="105">
        <v>33363.333333333336</v>
      </c>
    </row>
    <row r="39" spans="1:15" ht="18.75" customHeight="1">
      <c r="A39" s="16" t="s">
        <v>64</v>
      </c>
      <c r="B39" s="17" t="s">
        <v>55</v>
      </c>
      <c r="C39" s="61">
        <v>56.48</v>
      </c>
      <c r="D39" s="61">
        <v>76.2</v>
      </c>
      <c r="E39" s="61">
        <v>151.38</v>
      </c>
      <c r="F39" s="61">
        <v>628.36</v>
      </c>
      <c r="G39" s="61">
        <v>18.27</v>
      </c>
      <c r="H39" s="61">
        <v>27.4</v>
      </c>
      <c r="I39" s="61">
        <v>30.53</v>
      </c>
      <c r="K39" s="52">
        <v>396.79</v>
      </c>
      <c r="L39" s="52">
        <v>76.2</v>
      </c>
      <c r="M39" s="52">
        <v>18.27</v>
      </c>
      <c r="N39" s="52">
        <v>27.4</v>
      </c>
      <c r="O39" s="52">
        <v>30.53</v>
      </c>
    </row>
    <row r="40" spans="1:9" ht="18.75" customHeight="1" hidden="1">
      <c r="A40" s="16" t="s">
        <v>65</v>
      </c>
      <c r="B40" s="17" t="s">
        <v>66</v>
      </c>
      <c r="C40" s="16">
        <v>0</v>
      </c>
      <c r="D40" s="16"/>
      <c r="E40" s="84"/>
      <c r="F40" s="16"/>
      <c r="G40" s="16"/>
      <c r="H40" s="16"/>
      <c r="I40" s="16"/>
    </row>
    <row r="41" spans="1:9" ht="18.75" customHeight="1" hidden="1">
      <c r="A41" s="16" t="s">
        <v>67</v>
      </c>
      <c r="B41" s="17" t="s">
        <v>68</v>
      </c>
      <c r="C41" s="16">
        <v>0</v>
      </c>
      <c r="D41" s="16"/>
      <c r="E41" s="84"/>
      <c r="F41" s="16"/>
      <c r="G41" s="16"/>
      <c r="H41" s="16"/>
      <c r="I41" s="16"/>
    </row>
    <row r="42" spans="1:9" ht="52.5" customHeight="1" hidden="1">
      <c r="A42" s="16" t="s">
        <v>69</v>
      </c>
      <c r="B42" s="17" t="s">
        <v>70</v>
      </c>
      <c r="C42" s="16">
        <v>249.13</v>
      </c>
      <c r="D42" s="16"/>
      <c r="E42" s="84"/>
      <c r="F42" s="16"/>
      <c r="G42" s="16"/>
      <c r="H42" s="16"/>
      <c r="I42" s="16"/>
    </row>
    <row r="43" spans="1:15" ht="21" customHeight="1">
      <c r="A43" s="16" t="s">
        <v>71</v>
      </c>
      <c r="B43" s="17" t="s">
        <v>72</v>
      </c>
      <c r="C43" s="16">
        <v>1378.71</v>
      </c>
      <c r="D43" s="61">
        <f aca="true" t="shared" si="0" ref="D43:I43">D44+D49+D50+D54</f>
        <v>2448.32</v>
      </c>
      <c r="E43" s="61">
        <f t="shared" si="0"/>
        <v>6382.34</v>
      </c>
      <c r="F43" s="61">
        <f t="shared" si="0"/>
        <v>2018.29</v>
      </c>
      <c r="G43" s="61">
        <f t="shared" si="0"/>
        <v>514.27</v>
      </c>
      <c r="H43" s="61">
        <f t="shared" si="0"/>
        <v>771.4</v>
      </c>
      <c r="I43" s="61">
        <f t="shared" si="0"/>
        <v>1162.6499999999999</v>
      </c>
      <c r="K43" s="52">
        <v>3351.39</v>
      </c>
      <c r="L43" s="52">
        <v>2448.32</v>
      </c>
      <c r="M43" s="52">
        <v>514.27</v>
      </c>
      <c r="N43" s="52">
        <v>771.4</v>
      </c>
      <c r="O43" s="52">
        <v>1162.6499999999999</v>
      </c>
    </row>
    <row r="44" spans="1:15" ht="31.5">
      <c r="A44" s="16" t="s">
        <v>73</v>
      </c>
      <c r="B44" s="17" t="s">
        <v>74</v>
      </c>
      <c r="C44" s="61">
        <v>188.94</v>
      </c>
      <c r="D44" s="61">
        <f aca="true" t="shared" si="1" ref="D44:I44">D45</f>
        <v>303.29</v>
      </c>
      <c r="E44" s="61">
        <f t="shared" si="1"/>
        <v>1181.63</v>
      </c>
      <c r="F44" s="61">
        <f t="shared" si="1"/>
        <v>529.39</v>
      </c>
      <c r="G44" s="61">
        <f t="shared" si="1"/>
        <v>0</v>
      </c>
      <c r="H44" s="61">
        <f t="shared" si="1"/>
        <v>0</v>
      </c>
      <c r="I44" s="61">
        <f t="shared" si="1"/>
        <v>303.29</v>
      </c>
      <c r="K44" s="52">
        <v>303.29</v>
      </c>
      <c r="L44" s="52">
        <v>303.29</v>
      </c>
      <c r="M44" s="52">
        <v>0</v>
      </c>
      <c r="N44" s="52">
        <v>0</v>
      </c>
      <c r="O44" s="52">
        <v>303.29</v>
      </c>
    </row>
    <row r="45" spans="1:15" ht="47.25">
      <c r="A45" s="16" t="s">
        <v>75</v>
      </c>
      <c r="B45" s="17" t="s">
        <v>76</v>
      </c>
      <c r="C45" s="61">
        <v>303.29</v>
      </c>
      <c r="D45" s="61">
        <f>G45+H45+I45</f>
        <v>303.29</v>
      </c>
      <c r="E45" s="86">
        <v>1181.63</v>
      </c>
      <c r="F45" s="61">
        <v>529.39</v>
      </c>
      <c r="G45" s="61">
        <v>0</v>
      </c>
      <c r="H45" s="61">
        <v>0</v>
      </c>
      <c r="I45" s="61">
        <v>303.29</v>
      </c>
      <c r="K45" s="52">
        <v>303.29</v>
      </c>
      <c r="L45" s="52">
        <v>303.29</v>
      </c>
      <c r="M45" s="52">
        <v>0</v>
      </c>
      <c r="N45" s="52">
        <v>0</v>
      </c>
      <c r="O45" s="52">
        <v>303.29</v>
      </c>
    </row>
    <row r="46" spans="1:9" ht="31.5" hidden="1">
      <c r="A46" s="16" t="s">
        <v>77</v>
      </c>
      <c r="B46" s="17" t="s">
        <v>78</v>
      </c>
      <c r="C46" s="61"/>
      <c r="D46" s="61"/>
      <c r="E46" s="86">
        <v>4950.44</v>
      </c>
      <c r="F46" s="61">
        <v>161.04</v>
      </c>
      <c r="G46" s="61"/>
      <c r="H46" s="61"/>
      <c r="I46" s="61"/>
    </row>
    <row r="47" spans="1:9" ht="31.5" hidden="1">
      <c r="A47" s="16" t="s">
        <v>79</v>
      </c>
      <c r="B47" s="17" t="s">
        <v>80</v>
      </c>
      <c r="C47" s="61"/>
      <c r="D47" s="61"/>
      <c r="E47" s="86">
        <v>14304.9</v>
      </c>
      <c r="F47" s="61"/>
      <c r="G47" s="61"/>
      <c r="H47" s="61"/>
      <c r="I47" s="61"/>
    </row>
    <row r="48" spans="1:9" ht="31.5" hidden="1">
      <c r="A48" s="16" t="s">
        <v>81</v>
      </c>
      <c r="B48" s="17" t="s">
        <v>82</v>
      </c>
      <c r="C48" s="61">
        <v>0</v>
      </c>
      <c r="D48" s="61"/>
      <c r="E48" s="86"/>
      <c r="F48" s="61"/>
      <c r="G48" s="61"/>
      <c r="H48" s="61"/>
      <c r="I48" s="61"/>
    </row>
    <row r="49" spans="1:12" ht="15.75">
      <c r="A49" s="16" t="s">
        <v>83</v>
      </c>
      <c r="B49" s="17" t="s">
        <v>84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L49" s="52">
        <v>0</v>
      </c>
    </row>
    <row r="50" spans="1:15" ht="31.5">
      <c r="A50" s="16" t="s">
        <v>85</v>
      </c>
      <c r="B50" s="17" t="s">
        <v>86</v>
      </c>
      <c r="C50" s="16">
        <v>911.7</v>
      </c>
      <c r="D50" s="16">
        <v>1643.7</v>
      </c>
      <c r="E50" s="84">
        <v>3985.22</v>
      </c>
      <c r="F50" s="16">
        <v>1140.92</v>
      </c>
      <c r="G50" s="16">
        <v>394.08</v>
      </c>
      <c r="H50" s="16">
        <v>591.11</v>
      </c>
      <c r="I50" s="16">
        <v>658.51</v>
      </c>
      <c r="K50" s="52">
        <v>2335.71</v>
      </c>
      <c r="L50" s="52">
        <v>1643.7</v>
      </c>
      <c r="M50" s="52">
        <v>394.08</v>
      </c>
      <c r="N50" s="52">
        <v>591.11</v>
      </c>
      <c r="O50" s="52">
        <v>658.51</v>
      </c>
    </row>
    <row r="51" spans="1:15" s="91" customFormat="1" ht="34.5" customHeight="1">
      <c r="A51" s="89" t="s">
        <v>87</v>
      </c>
      <c r="B51" s="143" t="s">
        <v>14</v>
      </c>
      <c r="C51" s="89">
        <v>4.3</v>
      </c>
      <c r="D51" s="89">
        <v>4.3</v>
      </c>
      <c r="E51" s="89">
        <v>4.3</v>
      </c>
      <c r="F51" s="89">
        <v>4.3</v>
      </c>
      <c r="G51" s="89">
        <v>4.3</v>
      </c>
      <c r="H51" s="89">
        <v>4.3</v>
      </c>
      <c r="I51" s="89">
        <v>4.3</v>
      </c>
      <c r="K51" s="91">
        <v>4.3</v>
      </c>
      <c r="L51" s="91">
        <v>4.3</v>
      </c>
      <c r="M51" s="91">
        <v>4.3</v>
      </c>
      <c r="N51" s="91">
        <v>4.3</v>
      </c>
      <c r="O51" s="91">
        <v>4.3</v>
      </c>
    </row>
    <row r="52" spans="1:9" s="91" customFormat="1" ht="15.75" hidden="1">
      <c r="A52" s="89" t="s">
        <v>88</v>
      </c>
      <c r="B52" s="143" t="s">
        <v>13</v>
      </c>
      <c r="C52" s="89"/>
      <c r="D52" s="89"/>
      <c r="E52" s="144"/>
      <c r="F52" s="89"/>
      <c r="G52" s="89"/>
      <c r="H52" s="89"/>
      <c r="I52" s="89"/>
    </row>
    <row r="53" spans="1:15" s="101" customFormat="1" ht="31.5">
      <c r="A53" s="99" t="s">
        <v>89</v>
      </c>
      <c r="B53" s="147" t="s">
        <v>53</v>
      </c>
      <c r="C53" s="107">
        <v>17668.60465116279</v>
      </c>
      <c r="D53" s="107">
        <v>23890.988372093023</v>
      </c>
      <c r="E53" s="107">
        <v>57924.70930232558</v>
      </c>
      <c r="F53" s="107">
        <v>16583.139534883725</v>
      </c>
      <c r="G53" s="107">
        <v>22911.627906976744</v>
      </c>
      <c r="H53" s="107">
        <v>22911.24031007752</v>
      </c>
      <c r="I53" s="107">
        <v>25523.643410852714</v>
      </c>
      <c r="K53" s="101">
        <v>33949.273255813954</v>
      </c>
      <c r="L53" s="101">
        <v>23890.988372093023</v>
      </c>
      <c r="M53" s="101">
        <v>22911.627906976744</v>
      </c>
      <c r="N53" s="101">
        <v>22911.24031007752</v>
      </c>
      <c r="O53" s="101">
        <v>25523.643410852714</v>
      </c>
    </row>
    <row r="54" spans="1:15" ht="15.75">
      <c r="A54" s="109" t="s">
        <v>90</v>
      </c>
      <c r="B54" s="17" t="s">
        <v>55</v>
      </c>
      <c r="C54" s="16">
        <v>278.07</v>
      </c>
      <c r="D54" s="16">
        <v>501.33000000000004</v>
      </c>
      <c r="E54" s="16">
        <v>1215.49</v>
      </c>
      <c r="F54" s="16">
        <v>347.98</v>
      </c>
      <c r="G54" s="16">
        <v>120.19</v>
      </c>
      <c r="H54" s="16">
        <v>180.29</v>
      </c>
      <c r="I54" s="16">
        <v>200.85</v>
      </c>
      <c r="K54" s="52">
        <v>712.39</v>
      </c>
      <c r="L54" s="52">
        <v>501.33000000000004</v>
      </c>
      <c r="M54" s="52">
        <v>120.19</v>
      </c>
      <c r="N54" s="52">
        <v>180.29</v>
      </c>
      <c r="O54" s="52">
        <v>200.85</v>
      </c>
    </row>
    <row r="55" spans="1:15" ht="47.25" customHeight="1">
      <c r="A55" s="16" t="s">
        <v>91</v>
      </c>
      <c r="B55" s="17" t="s">
        <v>92</v>
      </c>
      <c r="C55" s="16">
        <v>188.65</v>
      </c>
      <c r="D55" s="61">
        <v>192.08</v>
      </c>
      <c r="E55" s="61">
        <v>7602.04</v>
      </c>
      <c r="F55" s="61">
        <v>526.63</v>
      </c>
      <c r="G55" s="61">
        <v>0</v>
      </c>
      <c r="H55" s="61">
        <v>0</v>
      </c>
      <c r="I55" s="61">
        <f>I62</f>
        <v>192.08</v>
      </c>
      <c r="K55" s="52">
        <v>390.41</v>
      </c>
      <c r="L55" s="52">
        <v>192.08</v>
      </c>
      <c r="M55" s="52">
        <v>0</v>
      </c>
      <c r="N55" s="52">
        <v>0</v>
      </c>
      <c r="O55" s="52">
        <v>192.08</v>
      </c>
    </row>
    <row r="56" spans="1:9" ht="31.5" hidden="1">
      <c r="A56" s="16" t="s">
        <v>8</v>
      </c>
      <c r="B56" s="17" t="s">
        <v>93</v>
      </c>
      <c r="C56" s="16"/>
      <c r="D56" s="61"/>
      <c r="E56" s="86"/>
      <c r="F56" s="61"/>
      <c r="G56" s="61"/>
      <c r="H56" s="61"/>
      <c r="I56" s="61"/>
    </row>
    <row r="57" spans="1:9" ht="31.5" hidden="1">
      <c r="A57" s="16" t="s">
        <v>9</v>
      </c>
      <c r="B57" s="17" t="s">
        <v>94</v>
      </c>
      <c r="C57" s="16"/>
      <c r="D57" s="61"/>
      <c r="E57" s="86">
        <v>1261</v>
      </c>
      <c r="F57" s="61"/>
      <c r="G57" s="61"/>
      <c r="H57" s="61"/>
      <c r="I57" s="61"/>
    </row>
    <row r="58" spans="1:9" s="91" customFormat="1" ht="15.75" hidden="1">
      <c r="A58" s="89" t="s">
        <v>95</v>
      </c>
      <c r="B58" s="143" t="s">
        <v>19</v>
      </c>
      <c r="C58" s="89"/>
      <c r="D58" s="148"/>
      <c r="E58" s="149"/>
      <c r="F58" s="148"/>
      <c r="G58" s="148"/>
      <c r="H58" s="148"/>
      <c r="I58" s="148"/>
    </row>
    <row r="59" spans="1:9" ht="15.75" hidden="1">
      <c r="A59" s="16" t="s">
        <v>15</v>
      </c>
      <c r="B59" s="17" t="s">
        <v>55</v>
      </c>
      <c r="C59" s="16"/>
      <c r="D59" s="61"/>
      <c r="E59" s="86">
        <v>383.3</v>
      </c>
      <c r="F59" s="61"/>
      <c r="G59" s="61"/>
      <c r="H59" s="61"/>
      <c r="I59" s="61"/>
    </row>
    <row r="60" spans="1:9" ht="31.5" hidden="1">
      <c r="A60" s="16" t="s">
        <v>96</v>
      </c>
      <c r="B60" s="17" t="s">
        <v>97</v>
      </c>
      <c r="C60" s="16"/>
      <c r="D60" s="61"/>
      <c r="E60" s="86"/>
      <c r="F60" s="61"/>
      <c r="G60" s="61"/>
      <c r="H60" s="61"/>
      <c r="I60" s="61"/>
    </row>
    <row r="61" spans="1:9" ht="15.75" hidden="1">
      <c r="A61" s="16" t="s">
        <v>98</v>
      </c>
      <c r="B61" s="17" t="s">
        <v>99</v>
      </c>
      <c r="C61" s="16"/>
      <c r="D61" s="61"/>
      <c r="E61" s="86"/>
      <c r="F61" s="61"/>
      <c r="G61" s="61"/>
      <c r="H61" s="61"/>
      <c r="I61" s="61"/>
    </row>
    <row r="62" spans="1:15" ht="31.5" customHeight="1">
      <c r="A62" s="16" t="s">
        <v>8</v>
      </c>
      <c r="B62" s="17" t="s">
        <v>100</v>
      </c>
      <c r="C62" s="16">
        <v>152.8</v>
      </c>
      <c r="D62" s="61">
        <f>G62+H62+I62</f>
        <v>192.08</v>
      </c>
      <c r="E62" s="86"/>
      <c r="F62" s="61"/>
      <c r="G62" s="61">
        <v>0</v>
      </c>
      <c r="H62" s="61">
        <v>0</v>
      </c>
      <c r="I62" s="61">
        <v>192.08</v>
      </c>
      <c r="K62" s="52">
        <v>192.08</v>
      </c>
      <c r="L62" s="52">
        <v>192.08</v>
      </c>
      <c r="M62" s="52">
        <v>0</v>
      </c>
      <c r="N62" s="52">
        <v>0</v>
      </c>
      <c r="O62" s="52">
        <v>192.08</v>
      </c>
    </row>
    <row r="63" spans="1:9" ht="18.75" customHeight="1" hidden="1">
      <c r="A63" s="16" t="s">
        <v>101</v>
      </c>
      <c r="B63" s="17" t="s">
        <v>102</v>
      </c>
      <c r="C63" s="16"/>
      <c r="D63" s="61"/>
      <c r="E63" s="86"/>
      <c r="F63" s="61"/>
      <c r="G63" s="61"/>
      <c r="H63" s="61"/>
      <c r="I63" s="61"/>
    </row>
    <row r="64" spans="1:9" ht="32.25" customHeight="1" hidden="1">
      <c r="A64" s="16" t="s">
        <v>103</v>
      </c>
      <c r="B64" s="17" t="s">
        <v>104</v>
      </c>
      <c r="C64" s="16"/>
      <c r="D64" s="61"/>
      <c r="E64" s="86"/>
      <c r="F64" s="61"/>
      <c r="G64" s="61"/>
      <c r="H64" s="61"/>
      <c r="I64" s="61"/>
    </row>
    <row r="65" spans="1:9" ht="32.25" customHeight="1" hidden="1">
      <c r="A65" s="16" t="s">
        <v>105</v>
      </c>
      <c r="B65" s="17" t="s">
        <v>106</v>
      </c>
      <c r="C65" s="16"/>
      <c r="D65" s="61"/>
      <c r="E65" s="86">
        <v>165.12</v>
      </c>
      <c r="F65" s="61">
        <v>94.92</v>
      </c>
      <c r="G65" s="61"/>
      <c r="H65" s="61"/>
      <c r="I65" s="61"/>
    </row>
    <row r="66" spans="1:9" ht="32.25" customHeight="1" hidden="1">
      <c r="A66" s="16" t="s">
        <v>107</v>
      </c>
      <c r="B66" s="17" t="s">
        <v>108</v>
      </c>
      <c r="C66" s="16"/>
      <c r="D66" s="61"/>
      <c r="E66" s="86"/>
      <c r="F66" s="61"/>
      <c r="G66" s="61"/>
      <c r="H66" s="61"/>
      <c r="I66" s="61"/>
    </row>
    <row r="67" spans="1:9" ht="32.25" customHeight="1" hidden="1">
      <c r="A67" s="16" t="s">
        <v>109</v>
      </c>
      <c r="B67" s="17" t="s">
        <v>110</v>
      </c>
      <c r="C67" s="16"/>
      <c r="D67" s="61"/>
      <c r="E67" s="86"/>
      <c r="F67" s="61"/>
      <c r="G67" s="61"/>
      <c r="H67" s="61"/>
      <c r="I67" s="61"/>
    </row>
    <row r="68" spans="1:15" ht="46.5" customHeight="1">
      <c r="A68" s="16" t="s">
        <v>9</v>
      </c>
      <c r="B68" s="17" t="s">
        <v>111</v>
      </c>
      <c r="C68" s="16">
        <v>35.85</v>
      </c>
      <c r="D68" s="61">
        <v>0</v>
      </c>
      <c r="E68" s="86">
        <v>5792.62</v>
      </c>
      <c r="F68" s="61">
        <v>431.71</v>
      </c>
      <c r="G68" s="61">
        <v>0</v>
      </c>
      <c r="H68" s="61">
        <v>0</v>
      </c>
      <c r="I68" s="61">
        <v>0</v>
      </c>
      <c r="K68" s="52">
        <v>198.33</v>
      </c>
      <c r="L68" s="52">
        <v>0</v>
      </c>
      <c r="M68" s="52">
        <v>0</v>
      </c>
      <c r="N68" s="52">
        <v>0</v>
      </c>
      <c r="O68" s="52">
        <v>0</v>
      </c>
    </row>
    <row r="69" spans="1:9" ht="31.5">
      <c r="A69" s="16" t="s">
        <v>112</v>
      </c>
      <c r="B69" s="17" t="s">
        <v>113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</row>
    <row r="70" spans="1:9" ht="31.5" hidden="1">
      <c r="A70" s="16" t="s">
        <v>10</v>
      </c>
      <c r="B70" s="17" t="s">
        <v>114</v>
      </c>
      <c r="C70" s="16"/>
      <c r="D70" s="61"/>
      <c r="E70" s="86"/>
      <c r="F70" s="61"/>
      <c r="G70" s="61"/>
      <c r="H70" s="61"/>
      <c r="I70" s="61"/>
    </row>
    <row r="71" spans="1:9" ht="31.5" hidden="1">
      <c r="A71" s="16" t="s">
        <v>115</v>
      </c>
      <c r="B71" s="17" t="s">
        <v>116</v>
      </c>
      <c r="C71" s="16"/>
      <c r="D71" s="61"/>
      <c r="E71" s="86"/>
      <c r="F71" s="61"/>
      <c r="G71" s="61"/>
      <c r="H71" s="61"/>
      <c r="I71" s="61"/>
    </row>
    <row r="72" spans="1:9" s="91" customFormat="1" ht="15.75" hidden="1">
      <c r="A72" s="89" t="s">
        <v>117</v>
      </c>
      <c r="B72" s="143" t="s">
        <v>19</v>
      </c>
      <c r="C72" s="89"/>
      <c r="D72" s="148"/>
      <c r="E72" s="149"/>
      <c r="F72" s="148"/>
      <c r="G72" s="148"/>
      <c r="H72" s="148"/>
      <c r="I72" s="148"/>
    </row>
    <row r="73" spans="1:9" ht="15.75" hidden="1">
      <c r="A73" s="16" t="s">
        <v>118</v>
      </c>
      <c r="B73" s="17" t="s">
        <v>55</v>
      </c>
      <c r="C73" s="16"/>
      <c r="D73" s="61"/>
      <c r="E73" s="86"/>
      <c r="F73" s="61"/>
      <c r="G73" s="61"/>
      <c r="H73" s="61"/>
      <c r="I73" s="61"/>
    </row>
    <row r="74" spans="1:9" ht="30" customHeight="1" hidden="1">
      <c r="A74" s="16" t="s">
        <v>119</v>
      </c>
      <c r="B74" s="17" t="s">
        <v>120</v>
      </c>
      <c r="C74" s="16"/>
      <c r="D74" s="61"/>
      <c r="E74" s="86"/>
      <c r="F74" s="61"/>
      <c r="G74" s="61"/>
      <c r="H74" s="61"/>
      <c r="I74" s="61"/>
    </row>
    <row r="75" spans="1:15" ht="21.75" customHeight="1">
      <c r="A75" s="16" t="s">
        <v>121</v>
      </c>
      <c r="B75" s="17" t="s">
        <v>122</v>
      </c>
      <c r="C75" s="16">
        <v>169</v>
      </c>
      <c r="D75" s="61">
        <f>G75+H75+I75</f>
        <v>258.17</v>
      </c>
      <c r="E75" s="86"/>
      <c r="F75" s="61"/>
      <c r="G75" s="61">
        <v>0</v>
      </c>
      <c r="H75" s="61">
        <v>0</v>
      </c>
      <c r="I75" s="61">
        <v>258.17</v>
      </c>
      <c r="K75" s="52">
        <v>258.17</v>
      </c>
      <c r="L75" s="52">
        <v>258.17</v>
      </c>
      <c r="M75" s="52">
        <v>0</v>
      </c>
      <c r="N75" s="52">
        <v>0</v>
      </c>
      <c r="O75" s="52">
        <v>258.17</v>
      </c>
    </row>
    <row r="76" spans="1:12" ht="36" customHeight="1">
      <c r="A76" s="16" t="s">
        <v>123</v>
      </c>
      <c r="B76" s="17" t="s">
        <v>124</v>
      </c>
      <c r="C76" s="61">
        <v>0</v>
      </c>
      <c r="D76" s="61">
        <v>0</v>
      </c>
      <c r="E76" s="61">
        <v>176.71</v>
      </c>
      <c r="F76" s="61">
        <v>4658.389999999999</v>
      </c>
      <c r="G76" s="61">
        <v>0</v>
      </c>
      <c r="H76" s="61">
        <v>0</v>
      </c>
      <c r="I76" s="61">
        <v>0</v>
      </c>
      <c r="K76" s="52">
        <v>0</v>
      </c>
      <c r="L76" s="52">
        <v>0</v>
      </c>
    </row>
    <row r="77" spans="1:9" ht="15.75" hidden="1">
      <c r="A77" s="16" t="s">
        <v>1</v>
      </c>
      <c r="B77" s="17" t="s">
        <v>125</v>
      </c>
      <c r="C77" s="16"/>
      <c r="D77" s="61"/>
      <c r="E77" s="86">
        <v>176.71</v>
      </c>
      <c r="F77" s="61">
        <v>4658.389999999999</v>
      </c>
      <c r="G77" s="61"/>
      <c r="H77" s="61"/>
      <c r="I77" s="61"/>
    </row>
    <row r="78" spans="1:9" ht="15.75" hidden="1">
      <c r="A78" s="16" t="s">
        <v>2</v>
      </c>
      <c r="B78" s="17" t="s">
        <v>126</v>
      </c>
      <c r="C78" s="16"/>
      <c r="D78" s="61"/>
      <c r="E78" s="86"/>
      <c r="F78" s="61"/>
      <c r="G78" s="61"/>
      <c r="H78" s="61"/>
      <c r="I78" s="61"/>
    </row>
    <row r="79" spans="1:9" ht="15.75" hidden="1">
      <c r="A79" s="16" t="s">
        <v>3</v>
      </c>
      <c r="B79" s="17" t="s">
        <v>127</v>
      </c>
      <c r="C79" s="16"/>
      <c r="D79" s="61"/>
      <c r="E79" s="86"/>
      <c r="F79" s="61"/>
      <c r="G79" s="61"/>
      <c r="H79" s="61"/>
      <c r="I79" s="61"/>
    </row>
    <row r="80" spans="1:15" ht="34.5" customHeight="1">
      <c r="A80" s="16" t="s">
        <v>128</v>
      </c>
      <c r="B80" s="17" t="s">
        <v>129</v>
      </c>
      <c r="C80" s="16">
        <v>98.7</v>
      </c>
      <c r="D80" s="61">
        <f>D83</f>
        <v>131.65</v>
      </c>
      <c r="E80" s="61">
        <f>E83</f>
        <v>0</v>
      </c>
      <c r="F80" s="61">
        <f>F83</f>
        <v>0</v>
      </c>
      <c r="G80" s="61">
        <f>G83</f>
        <v>0</v>
      </c>
      <c r="H80" s="61">
        <f>H83</f>
        <v>0</v>
      </c>
      <c r="I80" s="61">
        <v>131.65</v>
      </c>
      <c r="K80" s="52">
        <v>131.65</v>
      </c>
      <c r="L80" s="52">
        <v>131.65</v>
      </c>
      <c r="M80" s="52">
        <v>0</v>
      </c>
      <c r="N80" s="52">
        <v>0</v>
      </c>
      <c r="O80" s="52">
        <v>131.65</v>
      </c>
    </row>
    <row r="81" spans="1:9" ht="15" customHeight="1" hidden="1">
      <c r="A81" s="16" t="s">
        <v>130</v>
      </c>
      <c r="B81" s="150" t="s">
        <v>131</v>
      </c>
      <c r="C81" s="16">
        <v>0</v>
      </c>
      <c r="D81" s="61"/>
      <c r="E81" s="86"/>
      <c r="F81" s="61"/>
      <c r="G81" s="61"/>
      <c r="H81" s="61"/>
      <c r="I81" s="61"/>
    </row>
    <row r="82" spans="1:9" ht="40.5" customHeight="1" hidden="1">
      <c r="A82" s="16" t="s">
        <v>132</v>
      </c>
      <c r="B82" s="150" t="s">
        <v>133</v>
      </c>
      <c r="C82" s="16">
        <v>0</v>
      </c>
      <c r="D82" s="61"/>
      <c r="E82" s="86">
        <v>943.42</v>
      </c>
      <c r="F82" s="61">
        <v>1407.19</v>
      </c>
      <c r="G82" s="61"/>
      <c r="H82" s="61"/>
      <c r="I82" s="61"/>
    </row>
    <row r="83" spans="1:15" ht="18" customHeight="1">
      <c r="A83" s="16" t="s">
        <v>130</v>
      </c>
      <c r="B83" s="151" t="s">
        <v>6</v>
      </c>
      <c r="C83" s="16">
        <v>98.7</v>
      </c>
      <c r="D83" s="61">
        <f>G83+H83+I83</f>
        <v>131.65</v>
      </c>
      <c r="E83" s="86"/>
      <c r="F83" s="61"/>
      <c r="G83" s="61">
        <v>0</v>
      </c>
      <c r="H83" s="61">
        <v>0</v>
      </c>
      <c r="I83" s="61">
        <v>131.65</v>
      </c>
      <c r="K83" s="52">
        <v>131.65</v>
      </c>
      <c r="L83" s="52">
        <v>131.65</v>
      </c>
      <c r="M83" s="52">
        <v>0</v>
      </c>
      <c r="N83" s="52">
        <v>0</v>
      </c>
      <c r="O83" s="52">
        <v>131.65</v>
      </c>
    </row>
    <row r="84" spans="1:15" s="115" customFormat="1" ht="19.5" customHeight="1">
      <c r="A84" s="16"/>
      <c r="B84" s="17" t="s">
        <v>134</v>
      </c>
      <c r="C84" s="61">
        <v>11834.125000000002</v>
      </c>
      <c r="D84" s="61">
        <f aca="true" t="shared" si="2" ref="D84:I84">D10+D43+D55+D69+D75+D76+D80</f>
        <v>14622.99</v>
      </c>
      <c r="E84" s="61">
        <f t="shared" si="2"/>
        <v>20871.739999999998</v>
      </c>
      <c r="F84" s="61">
        <f t="shared" si="2"/>
        <v>23042.59</v>
      </c>
      <c r="G84" s="61">
        <f t="shared" si="2"/>
        <v>3330.06</v>
      </c>
      <c r="H84" s="61">
        <f t="shared" si="2"/>
        <v>4993.999999999999</v>
      </c>
      <c r="I84" s="61">
        <f t="shared" si="2"/>
        <v>6298.9299999999985</v>
      </c>
      <c r="K84" s="115">
        <v>18618.57464</v>
      </c>
      <c r="L84" s="115">
        <v>14622.99</v>
      </c>
      <c r="M84" s="115">
        <v>3330.06</v>
      </c>
      <c r="N84" s="115">
        <v>4993.999999999999</v>
      </c>
      <c r="O84" s="115">
        <v>6298.9299999999985</v>
      </c>
    </row>
    <row r="85" spans="1:15" s="115" customFormat="1" ht="20.25" customHeight="1">
      <c r="A85" s="16">
        <v>8</v>
      </c>
      <c r="B85" s="17" t="s">
        <v>4</v>
      </c>
      <c r="C85" s="61">
        <v>0.9616258067241978</v>
      </c>
      <c r="D85" s="61">
        <f aca="true" t="shared" si="3" ref="D85:I85">D86/D84*100</f>
        <v>0.10900643438858948</v>
      </c>
      <c r="E85" s="61">
        <f t="shared" si="3"/>
        <v>3.9828974488950135</v>
      </c>
      <c r="F85" s="61">
        <f t="shared" si="3"/>
        <v>0.20830991655017947</v>
      </c>
      <c r="G85" s="61">
        <f t="shared" si="3"/>
        <v>0.11170969892434371</v>
      </c>
      <c r="H85" s="61">
        <f t="shared" si="3"/>
        <v>0.12234681617941531</v>
      </c>
      <c r="I85" s="61">
        <f t="shared" si="3"/>
        <v>0.0970006016894933</v>
      </c>
      <c r="K85" s="115">
        <v>0.4973527876890151</v>
      </c>
      <c r="L85" s="115">
        <v>0.10900643438858948</v>
      </c>
      <c r="M85" s="115">
        <v>0.11170969892434371</v>
      </c>
      <c r="N85" s="115">
        <v>0.12234681617941531</v>
      </c>
      <c r="O85" s="115">
        <v>0.0970006016894933</v>
      </c>
    </row>
    <row r="86" spans="1:15" ht="19.5" customHeight="1">
      <c r="A86" s="16">
        <v>9</v>
      </c>
      <c r="B86" s="17" t="s">
        <v>135</v>
      </c>
      <c r="C86" s="16">
        <v>113.8</v>
      </c>
      <c r="D86" s="16">
        <v>15.94</v>
      </c>
      <c r="E86" s="16">
        <v>831.3</v>
      </c>
      <c r="F86" s="16">
        <v>48</v>
      </c>
      <c r="G86" s="16">
        <v>3.7199999999999998</v>
      </c>
      <c r="H86" s="16">
        <v>6.109999999999999</v>
      </c>
      <c r="I86" s="16">
        <v>6.109999999999999</v>
      </c>
      <c r="K86" s="52">
        <v>92.6</v>
      </c>
      <c r="L86" s="52">
        <v>15.94</v>
      </c>
      <c r="M86" s="52">
        <v>3.7199999999999998</v>
      </c>
      <c r="N86" s="52">
        <v>6.109999999999999</v>
      </c>
      <c r="O86" s="52">
        <v>6.109999999999999</v>
      </c>
    </row>
    <row r="87" spans="1:9" ht="63">
      <c r="A87" s="16" t="s">
        <v>16</v>
      </c>
      <c r="B87" s="17" t="s">
        <v>136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</row>
    <row r="88" spans="1:9" ht="15.75">
      <c r="A88" s="16" t="s">
        <v>17</v>
      </c>
      <c r="B88" s="151" t="s">
        <v>137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</row>
    <row r="89" spans="1:15" ht="30" customHeight="1">
      <c r="A89" s="109" t="s">
        <v>18</v>
      </c>
      <c r="B89" s="151" t="s">
        <v>138</v>
      </c>
      <c r="C89" s="61">
        <v>94.83</v>
      </c>
      <c r="D89" s="61">
        <v>12.86</v>
      </c>
      <c r="E89" s="86">
        <v>190</v>
      </c>
      <c r="F89" s="61">
        <v>40</v>
      </c>
      <c r="G89" s="61">
        <v>3</v>
      </c>
      <c r="H89" s="61">
        <v>4.93</v>
      </c>
      <c r="I89" s="61">
        <v>4.93</v>
      </c>
      <c r="K89" s="52">
        <v>74.08</v>
      </c>
      <c r="L89" s="52">
        <v>12.86</v>
      </c>
      <c r="M89" s="52">
        <v>3</v>
      </c>
      <c r="N89" s="52">
        <v>4.93</v>
      </c>
      <c r="O89" s="52">
        <v>4.93</v>
      </c>
    </row>
    <row r="90" spans="1:12" ht="15.75">
      <c r="A90" s="16" t="s">
        <v>139</v>
      </c>
      <c r="B90" s="151" t="s">
        <v>140</v>
      </c>
      <c r="C90" s="61">
        <v>0</v>
      </c>
      <c r="D90" s="61">
        <v>0</v>
      </c>
      <c r="E90" s="86"/>
      <c r="F90" s="61"/>
      <c r="G90" s="61">
        <v>0</v>
      </c>
      <c r="H90" s="61">
        <v>0</v>
      </c>
      <c r="I90" s="61">
        <v>0</v>
      </c>
      <c r="K90" s="52">
        <v>0</v>
      </c>
      <c r="L90" s="52">
        <v>0</v>
      </c>
    </row>
    <row r="91" spans="1:15" ht="15.75">
      <c r="A91" s="16" t="s">
        <v>141</v>
      </c>
      <c r="B91" s="151" t="s">
        <v>142</v>
      </c>
      <c r="C91" s="16">
        <v>18.97</v>
      </c>
      <c r="D91" s="16">
        <v>3.08</v>
      </c>
      <c r="E91" s="16">
        <v>641.3</v>
      </c>
      <c r="F91" s="16">
        <v>8</v>
      </c>
      <c r="G91" s="16">
        <v>0.72</v>
      </c>
      <c r="H91" s="16">
        <v>1.18</v>
      </c>
      <c r="I91" s="16">
        <v>1.18</v>
      </c>
      <c r="K91" s="52">
        <v>18.52</v>
      </c>
      <c r="L91" s="52">
        <v>3.08</v>
      </c>
      <c r="M91" s="52">
        <v>0.72</v>
      </c>
      <c r="N91" s="52">
        <v>1.18</v>
      </c>
      <c r="O91" s="52">
        <v>1.18</v>
      </c>
    </row>
    <row r="92" spans="1:15" ht="15.75">
      <c r="A92" s="116" t="s">
        <v>143</v>
      </c>
      <c r="B92" s="151" t="s">
        <v>5</v>
      </c>
      <c r="C92" s="16">
        <v>18.97</v>
      </c>
      <c r="D92" s="16">
        <v>3.08</v>
      </c>
      <c r="E92" s="84">
        <v>641.3</v>
      </c>
      <c r="F92" s="16">
        <v>8</v>
      </c>
      <c r="G92" s="16">
        <v>0.72</v>
      </c>
      <c r="H92" s="16">
        <v>1.18</v>
      </c>
      <c r="I92" s="16">
        <v>1.18</v>
      </c>
      <c r="K92" s="52">
        <v>18.52</v>
      </c>
      <c r="L92" s="52">
        <v>3.08</v>
      </c>
      <c r="M92" s="52">
        <v>0.72</v>
      </c>
      <c r="N92" s="52">
        <v>1.18</v>
      </c>
      <c r="O92" s="52">
        <v>1.18</v>
      </c>
    </row>
    <row r="93" spans="1:15" s="115" customFormat="1" ht="15.75">
      <c r="A93" s="16">
        <v>10</v>
      </c>
      <c r="B93" s="17" t="s">
        <v>144</v>
      </c>
      <c r="C93" s="61">
        <v>11947.925000000001</v>
      </c>
      <c r="D93" s="61">
        <f aca="true" t="shared" si="4" ref="D93:I93">D84+D86</f>
        <v>14638.93</v>
      </c>
      <c r="E93" s="61">
        <f t="shared" si="4"/>
        <v>21703.039999999997</v>
      </c>
      <c r="F93" s="61">
        <f t="shared" si="4"/>
        <v>23090.59</v>
      </c>
      <c r="G93" s="61">
        <f t="shared" si="4"/>
        <v>3333.7799999999997</v>
      </c>
      <c r="H93" s="61">
        <f t="shared" si="4"/>
        <v>5000.109999999999</v>
      </c>
      <c r="I93" s="61">
        <f t="shared" si="4"/>
        <v>6305.039999999998</v>
      </c>
      <c r="K93" s="115">
        <v>18711.174639999997</v>
      </c>
      <c r="L93" s="115">
        <v>14638.93</v>
      </c>
      <c r="M93" s="115">
        <v>3333.7799999999997</v>
      </c>
      <c r="N93" s="115">
        <v>5000.109999999999</v>
      </c>
      <c r="O93" s="115">
        <v>6305.039999999998</v>
      </c>
    </row>
    <row r="94" spans="1:15" s="115" customFormat="1" ht="30.75" customHeight="1">
      <c r="A94" s="16">
        <v>11</v>
      </c>
      <c r="B94" s="102" t="s">
        <v>147</v>
      </c>
      <c r="C94" s="16">
        <v>469.5</v>
      </c>
      <c r="D94" s="16">
        <v>499.4</v>
      </c>
      <c r="E94" s="84"/>
      <c r="F94" s="16"/>
      <c r="G94" s="16">
        <v>124.86</v>
      </c>
      <c r="H94" s="16">
        <v>187.27</v>
      </c>
      <c r="I94" s="16">
        <v>187.27</v>
      </c>
      <c r="K94" s="115">
        <v>499.4</v>
      </c>
      <c r="L94" s="115">
        <v>499.4</v>
      </c>
      <c r="M94" s="115">
        <v>124.86</v>
      </c>
      <c r="N94" s="115">
        <v>187.27</v>
      </c>
      <c r="O94" s="115">
        <v>187.27</v>
      </c>
    </row>
    <row r="95" spans="1:15" ht="15.75">
      <c r="A95" s="16">
        <v>12</v>
      </c>
      <c r="B95" s="102" t="s">
        <v>7</v>
      </c>
      <c r="C95" s="16">
        <f aca="true" t="shared" si="5" ref="C95:I95">ROUND(C93/C94,2)</f>
        <v>25.45</v>
      </c>
      <c r="D95" s="61">
        <f t="shared" si="5"/>
        <v>29.31</v>
      </c>
      <c r="E95" s="61" t="e">
        <f t="shared" si="5"/>
        <v>#DIV/0!</v>
      </c>
      <c r="F95" s="61" t="e">
        <f t="shared" si="5"/>
        <v>#DIV/0!</v>
      </c>
      <c r="G95" s="61">
        <f t="shared" si="5"/>
        <v>26.7</v>
      </c>
      <c r="H95" s="61">
        <f t="shared" si="5"/>
        <v>26.7</v>
      </c>
      <c r="I95" s="61">
        <f t="shared" si="5"/>
        <v>33.67</v>
      </c>
      <c r="L95" s="52">
        <v>41.4</v>
      </c>
      <c r="M95" s="52">
        <v>10.32</v>
      </c>
      <c r="N95" s="52">
        <v>15.54</v>
      </c>
      <c r="O95" s="52">
        <v>15.54</v>
      </c>
    </row>
    <row r="96" spans="1:15" ht="15.75">
      <c r="A96" s="16"/>
      <c r="B96" s="17" t="s">
        <v>145</v>
      </c>
      <c r="C96" s="16">
        <f>ROUND(C95*1.18,2)</f>
        <v>30.03</v>
      </c>
      <c r="D96" s="16">
        <f aca="true" t="shared" si="6" ref="D96:I96">ROUND(D95*1.18,2)</f>
        <v>34.59</v>
      </c>
      <c r="E96" s="16" t="e">
        <f t="shared" si="6"/>
        <v>#DIV/0!</v>
      </c>
      <c r="F96" s="16" t="e">
        <f t="shared" si="6"/>
        <v>#DIV/0!</v>
      </c>
      <c r="G96" s="16">
        <f t="shared" si="6"/>
        <v>31.51</v>
      </c>
      <c r="H96" s="16">
        <f t="shared" si="6"/>
        <v>31.51</v>
      </c>
      <c r="I96" s="16">
        <f t="shared" si="6"/>
        <v>39.73</v>
      </c>
      <c r="K96" s="52">
        <v>37.47</v>
      </c>
      <c r="L96" s="52">
        <v>29.31</v>
      </c>
      <c r="M96" s="52">
        <v>26.7</v>
      </c>
      <c r="N96" s="52">
        <v>26.7</v>
      </c>
      <c r="O96" s="52">
        <v>33.67</v>
      </c>
    </row>
    <row r="97" spans="1:15" ht="31.5">
      <c r="A97" s="16"/>
      <c r="B97" s="17" t="s">
        <v>148</v>
      </c>
      <c r="C97" s="16">
        <v>31.51</v>
      </c>
      <c r="D97" s="61"/>
      <c r="E97" s="84"/>
      <c r="F97" s="16"/>
      <c r="G97" s="16"/>
      <c r="H97" s="16"/>
      <c r="I97" s="16"/>
      <c r="K97" s="52">
        <v>44.21</v>
      </c>
      <c r="L97" s="52">
        <v>34.59</v>
      </c>
      <c r="M97" s="52">
        <v>31.51</v>
      </c>
      <c r="N97" s="52">
        <v>31.51</v>
      </c>
      <c r="O97" s="52">
        <v>39.73</v>
      </c>
    </row>
    <row r="98" spans="1:9" ht="15.75">
      <c r="A98" s="16"/>
      <c r="B98" s="17" t="s">
        <v>146</v>
      </c>
      <c r="C98" s="16"/>
      <c r="D98" s="16"/>
      <c r="E98" s="84"/>
      <c r="F98" s="16"/>
      <c r="G98" s="61">
        <v>100</v>
      </c>
      <c r="H98" s="61">
        <v>100</v>
      </c>
      <c r="I98" s="61">
        <f>I96/H96*100</f>
        <v>126.08695652173911</v>
      </c>
    </row>
    <row r="106" spans="4:9" ht="12.75">
      <c r="D106" s="139"/>
      <c r="E106" s="139"/>
      <c r="F106" s="139"/>
      <c r="G106" s="139"/>
      <c r="H106" s="139"/>
      <c r="I106" s="139"/>
    </row>
    <row r="112" spans="4:9" ht="12.75">
      <c r="D112" s="139"/>
      <c r="I112" s="139"/>
    </row>
  </sheetData>
  <sheetProtection/>
  <mergeCells count="10">
    <mergeCell ref="G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</cp:lastModifiedBy>
  <cp:lastPrinted>2013-10-21T10:32:50Z</cp:lastPrinted>
  <dcterms:created xsi:type="dcterms:W3CDTF">1996-10-08T23:32:33Z</dcterms:created>
  <dcterms:modified xsi:type="dcterms:W3CDTF">2013-10-30T12:50:05Z</dcterms:modified>
  <cp:category/>
  <cp:version/>
  <cp:contentType/>
  <cp:contentStatus/>
</cp:coreProperties>
</file>